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autoCompressPictures="0" defaultThemeVersion="124226"/>
  <mc:AlternateContent xmlns:mc="http://schemas.openxmlformats.org/markup-compatibility/2006">
    <mc:Choice Requires="x15">
      <x15ac:absPath xmlns:x15ac="http://schemas.microsoft.com/office/spreadsheetml/2010/11/ac" url="S:\SCHEV Six-Year Plans\SCHEV Six-Year Plan 2023\"/>
    </mc:Choice>
  </mc:AlternateContent>
  <xr:revisionPtr revIDLastSave="0" documentId="13_ncr:1_{54AD9BCC-758B-449E-B756-535EDA660ADB}" xr6:coauthVersionLast="47" xr6:coauthVersionMax="47" xr10:uidLastSave="{00000000-0000-0000-0000-000000000000}"/>
  <bookViews>
    <workbookView xWindow="-120" yWindow="-120" windowWidth="25440" windowHeight="14775" tabRatio="659" firstSheet="1" activeTab="1" xr2:uid="{00000000-000D-0000-FFFF-FFFF00000000}"/>
  </bookViews>
  <sheets>
    <sheet name="Instruction" sheetId="37" r:id="rId1"/>
    <sheet name="Institution ID" sheetId="8" r:id="rId2"/>
    <sheet name="1-UG T&amp;F" sheetId="29" r:id="rId3"/>
    <sheet name="2-Revenue" sheetId="2" r:id="rId4"/>
    <sheet name="3-Financial Aid" sheetId="28" r:id="rId5"/>
    <sheet name="4-Academic-Financial" sheetId="5" r:id="rId6"/>
    <sheet name="4b - GF share" sheetId="38" r:id="rId7"/>
    <sheet name="5-Six-Year Pro Forma" sheetId="34" r:id="rId8"/>
    <sheet name="6-GF Request" sheetId="21" r:id="rId9"/>
    <sheet name="GF Request Categories" sheetId="36" state="hidden" r:id="rId10"/>
    <sheet name="Finance-Tuition Waivers" sheetId="9" state="hidden" r:id="rId11"/>
    <sheet name="Sheet1" sheetId="10" state="hidden" r:id="rId12"/>
  </sheets>
  <definedNames>
    <definedName name="_xlnm.Print_Area" localSheetId="5">'4-Academic-Financial'!$A$1:$Q$65</definedName>
    <definedName name="_xlnm.Print_Area" localSheetId="8">'6-GF Request'!$A$1:$H$18</definedName>
    <definedName name="_xlnm.Print_Area" localSheetId="10">'Finance-Tuition Waivers'!$A$1:$H$135</definedName>
    <definedName name="_xlnm.Print_Area" localSheetId="1">'Institution ID'!$A$1:$S$8</definedName>
    <definedName name="_xlnm.Print_Titles" localSheetId="5">'4-Academic-Financial'!$1:$2</definedName>
    <definedName name="_xlnm.Print_Titles" localSheetId="8">'6-GF Request'!$1:$9</definedName>
    <definedName name="_xlnm.Print_Titles" localSheetId="10">'Finance-Tuition Waivers'!$1:$5</definedName>
    <definedName name="Rank">Sheet1!$A$2:$A$51</definedName>
    <definedName name="YesNo">Sheet1!$B$2:$B$3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3" i="21" l="1"/>
  <c r="F11" i="21"/>
  <c r="F10" i="21"/>
  <c r="G11" i="21"/>
  <c r="G13" i="21"/>
  <c r="G10" i="21"/>
  <c r="Q26" i="2"/>
  <c r="Q25" i="2"/>
  <c r="Q24" i="2"/>
  <c r="Q23" i="2"/>
  <c r="Q18" i="2"/>
  <c r="Q17" i="2"/>
  <c r="Q8" i="2"/>
  <c r="Q7" i="2"/>
  <c r="K42" i="5" l="1"/>
  <c r="K40" i="5"/>
  <c r="K39" i="5"/>
  <c r="E14" i="21" l="1"/>
  <c r="D14" i="21"/>
  <c r="E12" i="21"/>
  <c r="D12" i="21"/>
  <c r="P35" i="5"/>
  <c r="O35" i="5"/>
  <c r="N35" i="5"/>
  <c r="M35" i="5"/>
  <c r="P33" i="5"/>
  <c r="O33" i="5"/>
  <c r="N33" i="5"/>
  <c r="M33" i="5"/>
  <c r="P40" i="5"/>
  <c r="O40" i="5"/>
  <c r="N40" i="5"/>
  <c r="M40" i="5"/>
  <c r="P39" i="5"/>
  <c r="O39" i="5"/>
  <c r="N39" i="5"/>
  <c r="M39" i="5"/>
  <c r="P41" i="5"/>
  <c r="P42" i="5"/>
  <c r="O42" i="5"/>
  <c r="N42" i="5"/>
  <c r="M42" i="5"/>
  <c r="P49" i="5"/>
  <c r="P43" i="5"/>
  <c r="J42" i="5"/>
  <c r="I42" i="5"/>
  <c r="E42" i="5"/>
  <c r="F42" i="5"/>
  <c r="N41" i="5"/>
  <c r="M41" i="5"/>
  <c r="K41" i="5"/>
  <c r="J41" i="5"/>
  <c r="I41" i="5" s="1"/>
  <c r="G41" i="5"/>
  <c r="F41" i="5"/>
  <c r="E41" i="5"/>
  <c r="J40" i="5"/>
  <c r="I40" i="5" s="1"/>
  <c r="E40" i="5"/>
  <c r="F40" i="5"/>
  <c r="P45" i="5"/>
  <c r="O45" i="5"/>
  <c r="N45" i="5"/>
  <c r="M45" i="5"/>
  <c r="K45" i="5"/>
  <c r="J45" i="5"/>
  <c r="I45" i="5" s="1"/>
  <c r="G45" i="5"/>
  <c r="F45" i="5"/>
  <c r="E45" i="5" s="1"/>
  <c r="P44" i="5"/>
  <c r="O44" i="5"/>
  <c r="N44" i="5"/>
  <c r="M44" i="5"/>
  <c r="K44" i="5"/>
  <c r="I44" i="5" s="1"/>
  <c r="J44" i="5"/>
  <c r="G44" i="5"/>
  <c r="F44" i="5"/>
  <c r="N43" i="5"/>
  <c r="M43" i="5"/>
  <c r="K43" i="5"/>
  <c r="J43" i="5"/>
  <c r="I43" i="5" s="1"/>
  <c r="G43" i="5"/>
  <c r="F43" i="5"/>
  <c r="E43" i="5" s="1"/>
  <c r="P48" i="5"/>
  <c r="O48" i="5"/>
  <c r="N48" i="5"/>
  <c r="M48" i="5"/>
  <c r="K48" i="5"/>
  <c r="J48" i="5"/>
  <c r="G48" i="5"/>
  <c r="F48" i="5"/>
  <c r="P47" i="5"/>
  <c r="O47" i="5"/>
  <c r="N47" i="5"/>
  <c r="M47" i="5"/>
  <c r="K47" i="5"/>
  <c r="J47" i="5"/>
  <c r="I47" i="5" s="1"/>
  <c r="G47" i="5"/>
  <c r="F47" i="5"/>
  <c r="P46" i="5"/>
  <c r="O46" i="5"/>
  <c r="N46" i="5"/>
  <c r="M46" i="5"/>
  <c r="K46" i="5"/>
  <c r="J46" i="5"/>
  <c r="G46" i="5"/>
  <c r="F46" i="5"/>
  <c r="E44" i="5" l="1"/>
  <c r="E46" i="5"/>
  <c r="E47" i="5"/>
  <c r="E48" i="5"/>
  <c r="I46" i="5"/>
  <c r="I48" i="5"/>
  <c r="F22" i="5" l="1"/>
  <c r="O23" i="2" l="1"/>
  <c r="M23" i="2"/>
  <c r="K23" i="2"/>
  <c r="I23" i="2"/>
  <c r="G23" i="2"/>
  <c r="E23" i="2"/>
  <c r="C23" i="2"/>
  <c r="B23" i="2"/>
  <c r="F12" i="5" l="1"/>
  <c r="F24" i="5"/>
  <c r="E24" i="5" s="1"/>
  <c r="Q9" i="2"/>
  <c r="Q10" i="2"/>
  <c r="Q11" i="2"/>
  <c r="Q12" i="2"/>
  <c r="Q13" i="2"/>
  <c r="Q14" i="2"/>
  <c r="Q15" i="2"/>
  <c r="Q16" i="2"/>
  <c r="Q19" i="2"/>
  <c r="Q20" i="2"/>
  <c r="Q21" i="2"/>
  <c r="Q22" i="2"/>
  <c r="L22" i="5" l="1"/>
  <c r="H22" i="5"/>
  <c r="J17" i="5"/>
  <c r="I17" i="5"/>
  <c r="F17" i="5"/>
  <c r="E17" i="5" s="1"/>
  <c r="P16" i="5"/>
  <c r="O16" i="5"/>
  <c r="N16" i="5"/>
  <c r="M16" i="5"/>
  <c r="L16" i="5"/>
  <c r="I16" i="5" s="1"/>
  <c r="K16" i="5"/>
  <c r="J16" i="5"/>
  <c r="H16" i="5"/>
  <c r="G16" i="5"/>
  <c r="F16" i="5"/>
  <c r="K58" i="5"/>
  <c r="K57" i="5"/>
  <c r="K56" i="5"/>
  <c r="K55" i="5"/>
  <c r="K52" i="5"/>
  <c r="K51" i="5"/>
  <c r="K50" i="5"/>
  <c r="K49" i="5"/>
  <c r="K37" i="5"/>
  <c r="K36" i="5"/>
  <c r="K34" i="5"/>
  <c r="K31" i="5"/>
  <c r="K30" i="5"/>
  <c r="K26" i="5"/>
  <c r="K22" i="5"/>
  <c r="K20" i="5"/>
  <c r="K15" i="5"/>
  <c r="G15" i="5"/>
  <c r="G20" i="5"/>
  <c r="G22" i="5"/>
  <c r="G25" i="5"/>
  <c r="G26" i="5"/>
  <c r="G30" i="5"/>
  <c r="G31" i="5"/>
  <c r="G34" i="5"/>
  <c r="G35" i="5"/>
  <c r="G36" i="5"/>
  <c r="G37" i="5"/>
  <c r="G49" i="5"/>
  <c r="G50" i="5"/>
  <c r="G51" i="5"/>
  <c r="G52" i="5"/>
  <c r="G55" i="5"/>
  <c r="G56" i="5"/>
  <c r="G57" i="5"/>
  <c r="G58" i="5"/>
  <c r="D15" i="21"/>
  <c r="E15" i="21"/>
  <c r="F15" i="21"/>
  <c r="G15" i="21"/>
  <c r="D16" i="21"/>
  <c r="E16" i="21"/>
  <c r="F16" i="21"/>
  <c r="G16" i="21"/>
  <c r="E16" i="5" l="1"/>
  <c r="G59" i="5"/>
  <c r="K59" i="5"/>
  <c r="P55" i="5"/>
  <c r="O55" i="5"/>
  <c r="N55" i="5"/>
  <c r="M55" i="5"/>
  <c r="J55" i="5"/>
  <c r="F55" i="5"/>
  <c r="P56" i="5"/>
  <c r="O56" i="5"/>
  <c r="N56" i="5"/>
  <c r="M56" i="5"/>
  <c r="J56" i="5"/>
  <c r="F56" i="5"/>
  <c r="E56" i="5" s="1"/>
  <c r="J54" i="5"/>
  <c r="I54" i="5" s="1"/>
  <c r="F54" i="5"/>
  <c r="P57" i="5"/>
  <c r="O57" i="5"/>
  <c r="N57" i="5"/>
  <c r="M57" i="5"/>
  <c r="J57" i="5"/>
  <c r="F57" i="5"/>
  <c r="P50" i="5"/>
  <c r="O50" i="5"/>
  <c r="N50" i="5"/>
  <c r="M50" i="5"/>
  <c r="J50" i="5"/>
  <c r="F50" i="5"/>
  <c r="P51" i="5"/>
  <c r="O51" i="5"/>
  <c r="N51" i="5"/>
  <c r="M51" i="5"/>
  <c r="J51" i="5"/>
  <c r="F51" i="5"/>
  <c r="N49" i="5"/>
  <c r="M49" i="5"/>
  <c r="J49" i="5"/>
  <c r="F49" i="5"/>
  <c r="J39" i="5"/>
  <c r="F39" i="5"/>
  <c r="P30" i="5"/>
  <c r="O30" i="5"/>
  <c r="N30" i="5"/>
  <c r="M30" i="5"/>
  <c r="J30" i="5"/>
  <c r="F30" i="5"/>
  <c r="J19" i="5"/>
  <c r="F19" i="5"/>
  <c r="J24" i="5"/>
  <c r="I24" i="5" s="1"/>
  <c r="J25" i="5"/>
  <c r="F25" i="5"/>
  <c r="F35" i="5"/>
  <c r="J35" i="5"/>
  <c r="F36" i="5"/>
  <c r="J36" i="5"/>
  <c r="M36" i="5"/>
  <c r="N36" i="5"/>
  <c r="O36" i="5"/>
  <c r="P36" i="5"/>
  <c r="F37" i="5"/>
  <c r="J37" i="5"/>
  <c r="I37" i="5" s="1"/>
  <c r="M37" i="5"/>
  <c r="N37" i="5"/>
  <c r="O37" i="5"/>
  <c r="P37" i="5"/>
  <c r="J33" i="5"/>
  <c r="F33" i="5"/>
  <c r="P34" i="5"/>
  <c r="O34" i="5"/>
  <c r="N34" i="5"/>
  <c r="M34" i="5"/>
  <c r="J34" i="5"/>
  <c r="F34" i="5"/>
  <c r="I56" i="5" l="1"/>
  <c r="E55" i="5"/>
  <c r="I55" i="5"/>
  <c r="E57" i="5"/>
  <c r="E54" i="5"/>
  <c r="I57" i="5"/>
  <c r="E35" i="5"/>
  <c r="E19" i="5"/>
  <c r="E30" i="5"/>
  <c r="E39" i="5"/>
  <c r="E50" i="5"/>
  <c r="I49" i="5"/>
  <c r="I50" i="5"/>
  <c r="I51" i="5"/>
  <c r="E49" i="5"/>
  <c r="E51" i="5"/>
  <c r="I39" i="5"/>
  <c r="I30" i="5"/>
  <c r="I19" i="5"/>
  <c r="E25" i="5"/>
  <c r="I25" i="5"/>
  <c r="E37" i="5"/>
  <c r="I34" i="5"/>
  <c r="I33" i="5"/>
  <c r="I36" i="5"/>
  <c r="I35" i="5"/>
  <c r="E33" i="5"/>
  <c r="E34" i="5"/>
  <c r="E36" i="5"/>
  <c r="P52" i="5"/>
  <c r="O52" i="5"/>
  <c r="N52" i="5"/>
  <c r="M52" i="5"/>
  <c r="J52" i="5"/>
  <c r="F52" i="5"/>
  <c r="J29" i="5"/>
  <c r="F29" i="5"/>
  <c r="J28" i="5"/>
  <c r="F28" i="5"/>
  <c r="P26" i="5"/>
  <c r="O26" i="5"/>
  <c r="N26" i="5"/>
  <c r="M26" i="5"/>
  <c r="J26" i="5"/>
  <c r="F26" i="5"/>
  <c r="J23" i="5"/>
  <c r="I23" i="5" s="1"/>
  <c r="F23" i="5"/>
  <c r="E23" i="5" s="1"/>
  <c r="P22" i="5"/>
  <c r="O22" i="5"/>
  <c r="N22" i="5"/>
  <c r="M22" i="5"/>
  <c r="J22" i="5"/>
  <c r="J18" i="5"/>
  <c r="J20" i="5"/>
  <c r="M20" i="5"/>
  <c r="N20" i="5"/>
  <c r="O20" i="5"/>
  <c r="P20" i="5"/>
  <c r="F18" i="5"/>
  <c r="F20" i="5"/>
  <c r="I22" i="5" l="1"/>
  <c r="I28" i="5"/>
  <c r="E52" i="5"/>
  <c r="I52" i="5"/>
  <c r="I20" i="5"/>
  <c r="E26" i="5"/>
  <c r="E20" i="5"/>
  <c r="I29" i="5"/>
  <c r="E22" i="5"/>
  <c r="I26" i="5"/>
  <c r="E29" i="5"/>
  <c r="I18" i="5"/>
  <c r="E18" i="5"/>
  <c r="E28" i="5"/>
  <c r="D14" i="34"/>
  <c r="C14" i="34"/>
  <c r="D31" i="34" l="1"/>
  <c r="O24" i="2" l="1"/>
  <c r="P10" i="34" s="1"/>
  <c r="M24" i="2"/>
  <c r="K24" i="2"/>
  <c r="I24" i="2"/>
  <c r="G24" i="2"/>
  <c r="E24" i="2"/>
  <c r="C24" i="2"/>
  <c r="C26" i="2" s="1"/>
  <c r="B24" i="2"/>
  <c r="P24" i="2" l="1"/>
  <c r="R24" i="2"/>
  <c r="N10" i="34"/>
  <c r="N24" i="2"/>
  <c r="L24" i="2"/>
  <c r="L10" i="34"/>
  <c r="J10" i="34"/>
  <c r="J24" i="2"/>
  <c r="H24" i="2"/>
  <c r="H10" i="34"/>
  <c r="F10" i="34"/>
  <c r="F24" i="2"/>
  <c r="J64" i="5"/>
  <c r="I64" i="5"/>
  <c r="D10" i="34"/>
  <c r="C10" i="34"/>
  <c r="R10" i="34" s="1"/>
  <c r="S10" i="34" s="1"/>
  <c r="D24" i="2"/>
  <c r="B26" i="2"/>
  <c r="A2" i="34"/>
  <c r="G108" i="28"/>
  <c r="F108" i="28"/>
  <c r="E108" i="28"/>
  <c r="C108" i="28"/>
  <c r="D108" i="28" s="1"/>
  <c r="G107" i="28"/>
  <c r="F107" i="28"/>
  <c r="E107" i="28"/>
  <c r="C107" i="28"/>
  <c r="D107" i="28" s="1"/>
  <c r="G106" i="28"/>
  <c r="F106" i="28"/>
  <c r="E106" i="28"/>
  <c r="C106" i="28"/>
  <c r="D106" i="28" s="1"/>
  <c r="G105" i="28"/>
  <c r="F105" i="28"/>
  <c r="E105" i="28"/>
  <c r="C105" i="28"/>
  <c r="D105" i="28" s="1"/>
  <c r="F104" i="28"/>
  <c r="G103" i="28"/>
  <c r="F103" i="28"/>
  <c r="C103" i="28"/>
  <c r="G95" i="28"/>
  <c r="F95" i="28"/>
  <c r="E95" i="28"/>
  <c r="C95" i="28"/>
  <c r="D95" i="28" s="1"/>
  <c r="G94" i="28"/>
  <c r="F94" i="28"/>
  <c r="E94" i="28"/>
  <c r="C94" i="28"/>
  <c r="D94" i="28" s="1"/>
  <c r="G93" i="28"/>
  <c r="F93" i="28"/>
  <c r="E93" i="28"/>
  <c r="C93" i="28"/>
  <c r="D93" i="28" s="1"/>
  <c r="G92" i="28"/>
  <c r="F92" i="28"/>
  <c r="E92" i="28"/>
  <c r="C92" i="28"/>
  <c r="D92" i="28" s="1"/>
  <c r="F91" i="28"/>
  <c r="G90" i="28"/>
  <c r="F90" i="28"/>
  <c r="C90" i="28"/>
  <c r="D90" i="28" s="1"/>
  <c r="G82" i="28"/>
  <c r="F82" i="28"/>
  <c r="E82" i="28"/>
  <c r="C82" i="28"/>
  <c r="D82" i="28" s="1"/>
  <c r="G81" i="28"/>
  <c r="F81" i="28"/>
  <c r="E81" i="28"/>
  <c r="C81" i="28"/>
  <c r="D81" i="28" s="1"/>
  <c r="G80" i="28"/>
  <c r="F80" i="28"/>
  <c r="E80" i="28"/>
  <c r="C80" i="28"/>
  <c r="D80" i="28" s="1"/>
  <c r="G79" i="28"/>
  <c r="F79" i="28"/>
  <c r="E79" i="28"/>
  <c r="C79" i="28"/>
  <c r="D79" i="28" s="1"/>
  <c r="F78" i="28"/>
  <c r="G77" i="28"/>
  <c r="F77" i="28"/>
  <c r="C77" i="28"/>
  <c r="G69" i="28"/>
  <c r="F69" i="28"/>
  <c r="E69" i="28"/>
  <c r="C69" i="28"/>
  <c r="D69" i="28" s="1"/>
  <c r="G68" i="28"/>
  <c r="F68" i="28"/>
  <c r="E68" i="28"/>
  <c r="C68" i="28"/>
  <c r="D68" i="28" s="1"/>
  <c r="G67" i="28"/>
  <c r="F67" i="28"/>
  <c r="E67" i="28"/>
  <c r="C67" i="28"/>
  <c r="D67" i="28" s="1"/>
  <c r="G66" i="28"/>
  <c r="F66" i="28"/>
  <c r="E66" i="28"/>
  <c r="C66" i="28"/>
  <c r="D66" i="28" s="1"/>
  <c r="F65" i="28"/>
  <c r="G64" i="28"/>
  <c r="F64" i="28"/>
  <c r="C64" i="28"/>
  <c r="C8" i="34"/>
  <c r="H23" i="2"/>
  <c r="L23" i="2"/>
  <c r="J23" i="2"/>
  <c r="N23" i="2"/>
  <c r="P23" i="2"/>
  <c r="E25" i="2"/>
  <c r="E26" i="2" s="1"/>
  <c r="C13" i="34" l="1"/>
  <c r="C12" i="34"/>
  <c r="E96" i="28"/>
  <c r="F109" i="28"/>
  <c r="G109" i="28"/>
  <c r="F96" i="28"/>
  <c r="G96" i="28"/>
  <c r="C109" i="28"/>
  <c r="E109" i="28"/>
  <c r="D103" i="28"/>
  <c r="C96" i="28"/>
  <c r="G83" i="28"/>
  <c r="J77" i="28"/>
  <c r="K77" i="28" s="1"/>
  <c r="C83" i="28"/>
  <c r="D77" i="28"/>
  <c r="E83" i="28"/>
  <c r="F83" i="28"/>
  <c r="J64" i="28"/>
  <c r="K64" i="28" s="1"/>
  <c r="E70" i="28"/>
  <c r="G70" i="28"/>
  <c r="C70" i="28"/>
  <c r="F70" i="28"/>
  <c r="D64" i="28"/>
  <c r="G25" i="2"/>
  <c r="G26" i="2" s="1"/>
  <c r="D8" i="34"/>
  <c r="E8" i="34" s="1"/>
  <c r="F25" i="2"/>
  <c r="D25" i="2"/>
  <c r="H25" i="2" l="1"/>
  <c r="C23" i="34"/>
  <c r="E12" i="34"/>
  <c r="C17" i="34"/>
  <c r="D13" i="34"/>
  <c r="D12" i="34"/>
  <c r="E13" i="34"/>
  <c r="I25" i="2"/>
  <c r="I26" i="2" s="1"/>
  <c r="J25" i="2" l="1"/>
  <c r="D17" i="34"/>
  <c r="E17" i="34" s="1"/>
  <c r="D23" i="34"/>
  <c r="F23" i="34" s="1"/>
  <c r="C18" i="34"/>
  <c r="K25" i="2"/>
  <c r="K26" i="2" s="1"/>
  <c r="C35" i="34" l="1"/>
  <c r="C24" i="34"/>
  <c r="C36" i="34"/>
  <c r="C25" i="34"/>
  <c r="G23" i="34"/>
  <c r="E23" i="34"/>
  <c r="L25" i="2"/>
  <c r="C34" i="34"/>
  <c r="D18" i="34"/>
  <c r="H23" i="34"/>
  <c r="I23" i="34" s="1"/>
  <c r="M25" i="2"/>
  <c r="M26" i="2" s="1"/>
  <c r="N25" i="2" l="1"/>
  <c r="D35" i="34"/>
  <c r="G35" i="34" s="1"/>
  <c r="D24" i="34"/>
  <c r="R35" i="34"/>
  <c r="S35" i="34"/>
  <c r="E35" i="34"/>
  <c r="C37" i="34"/>
  <c r="S36" i="34"/>
  <c r="R36" i="34"/>
  <c r="E36" i="34"/>
  <c r="D34" i="34"/>
  <c r="G34" i="34" s="1"/>
  <c r="D36" i="34"/>
  <c r="D25" i="34"/>
  <c r="E18" i="34"/>
  <c r="E34" i="34"/>
  <c r="S34" i="34"/>
  <c r="R34" i="34"/>
  <c r="J23" i="34"/>
  <c r="K23" i="34" s="1"/>
  <c r="O25" i="2"/>
  <c r="E24" i="34" l="1"/>
  <c r="O26" i="2"/>
  <c r="R25" i="2"/>
  <c r="E25" i="34"/>
  <c r="G36" i="34"/>
  <c r="D37" i="34"/>
  <c r="P25" i="2"/>
  <c r="L23" i="34"/>
  <c r="M23" i="34" s="1"/>
  <c r="B64" i="28"/>
  <c r="B77" i="28"/>
  <c r="B90" i="28"/>
  <c r="B103" i="28"/>
  <c r="B104" i="28"/>
  <c r="I9" i="2"/>
  <c r="K9" i="2"/>
  <c r="M9" i="2"/>
  <c r="O9" i="2"/>
  <c r="B105" i="28" s="1"/>
  <c r="H105" i="28" s="1"/>
  <c r="I105" i="28" s="1"/>
  <c r="I10" i="2"/>
  <c r="K10" i="2"/>
  <c r="M10" i="2"/>
  <c r="O10" i="2"/>
  <c r="B106" i="28" s="1"/>
  <c r="H106" i="28" s="1"/>
  <c r="I106" i="28" s="1"/>
  <c r="I11" i="2"/>
  <c r="K11" i="2"/>
  <c r="M11" i="2"/>
  <c r="O11" i="2"/>
  <c r="I12" i="2"/>
  <c r="K12" i="2"/>
  <c r="M12" i="2"/>
  <c r="O12" i="2"/>
  <c r="I13" i="2"/>
  <c r="L13" i="2" s="1"/>
  <c r="K13" i="2"/>
  <c r="N13" i="2" s="1"/>
  <c r="M13" i="2"/>
  <c r="P13" i="2" s="1"/>
  <c r="O13" i="2"/>
  <c r="I14" i="2"/>
  <c r="L14" i="2" s="1"/>
  <c r="K14" i="2"/>
  <c r="N14" i="2" s="1"/>
  <c r="M14" i="2"/>
  <c r="P14" i="2" s="1"/>
  <c r="O14" i="2"/>
  <c r="I15" i="2"/>
  <c r="L15" i="2" s="1"/>
  <c r="K15" i="2"/>
  <c r="N15" i="2" s="1"/>
  <c r="M15" i="2"/>
  <c r="P15" i="2" s="1"/>
  <c r="O15" i="2"/>
  <c r="I16" i="2"/>
  <c r="L16" i="2" s="1"/>
  <c r="K16" i="2"/>
  <c r="N16" i="2" s="1"/>
  <c r="M16" i="2"/>
  <c r="P16" i="2" s="1"/>
  <c r="O16" i="2"/>
  <c r="I17" i="2"/>
  <c r="L17" i="2" s="1"/>
  <c r="K17" i="2"/>
  <c r="N17" i="2" s="1"/>
  <c r="M17" i="2"/>
  <c r="P17" i="2" s="1"/>
  <c r="O17" i="2"/>
  <c r="I18" i="2"/>
  <c r="L18" i="2" s="1"/>
  <c r="K18" i="2"/>
  <c r="N18" i="2" s="1"/>
  <c r="M18" i="2"/>
  <c r="P18" i="2" s="1"/>
  <c r="O18" i="2"/>
  <c r="I19" i="2"/>
  <c r="L19" i="2" s="1"/>
  <c r="K19" i="2"/>
  <c r="N19" i="2" s="1"/>
  <c r="M19" i="2"/>
  <c r="P19" i="2" s="1"/>
  <c r="O19" i="2"/>
  <c r="I20" i="2"/>
  <c r="L20" i="2" s="1"/>
  <c r="K20" i="2"/>
  <c r="N20" i="2" s="1"/>
  <c r="M20" i="2"/>
  <c r="P20" i="2" s="1"/>
  <c r="O20" i="2"/>
  <c r="I21" i="2"/>
  <c r="L21" i="2" s="1"/>
  <c r="K21" i="2"/>
  <c r="N21" i="2" s="1"/>
  <c r="M21" i="2"/>
  <c r="P21" i="2" s="1"/>
  <c r="O21" i="2"/>
  <c r="F23" i="2"/>
  <c r="E16" i="29"/>
  <c r="F16" i="29" s="1"/>
  <c r="C16" i="29"/>
  <c r="B16" i="29"/>
  <c r="E12" i="29"/>
  <c r="F12" i="29" s="1"/>
  <c r="C12" i="29"/>
  <c r="D12" i="29" s="1"/>
  <c r="B12" i="29"/>
  <c r="F13" i="29"/>
  <c r="F14" i="29"/>
  <c r="F15" i="29"/>
  <c r="D13" i="29"/>
  <c r="D14" i="29"/>
  <c r="D15" i="29"/>
  <c r="H104" i="28" l="1"/>
  <c r="I104" i="28" s="1"/>
  <c r="D104" i="28"/>
  <c r="E37" i="34"/>
  <c r="D16" i="29"/>
  <c r="N23" i="34"/>
  <c r="O23" i="34" s="1"/>
  <c r="B108" i="28"/>
  <c r="H108" i="28" s="1"/>
  <c r="I108" i="28" s="1"/>
  <c r="P8" i="2"/>
  <c r="B91" i="28"/>
  <c r="N12" i="2"/>
  <c r="B82" i="28"/>
  <c r="H82" i="28" s="1"/>
  <c r="I82" i="28" s="1"/>
  <c r="N10" i="2"/>
  <c r="B80" i="28"/>
  <c r="H80" i="28" s="1"/>
  <c r="I80" i="28" s="1"/>
  <c r="N8" i="2"/>
  <c r="B78" i="28"/>
  <c r="B83" i="28" s="1"/>
  <c r="D83" i="28" s="1"/>
  <c r="L12" i="2"/>
  <c r="B69" i="28"/>
  <c r="H69" i="28" s="1"/>
  <c r="I69" i="28" s="1"/>
  <c r="L10" i="2"/>
  <c r="B67" i="28"/>
  <c r="H67" i="28" s="1"/>
  <c r="I67" i="28" s="1"/>
  <c r="L8" i="2"/>
  <c r="B65" i="28"/>
  <c r="B107" i="28"/>
  <c r="H107" i="28" s="1"/>
  <c r="I107" i="28" s="1"/>
  <c r="H103" i="28"/>
  <c r="P12" i="2"/>
  <c r="B95" i="28"/>
  <c r="H95" i="28" s="1"/>
  <c r="I95" i="28" s="1"/>
  <c r="P11" i="2"/>
  <c r="B94" i="28"/>
  <c r="H94" i="28" s="1"/>
  <c r="I94" i="28" s="1"/>
  <c r="P9" i="2"/>
  <c r="B92" i="28"/>
  <c r="H92" i="28" s="1"/>
  <c r="I92" i="28" s="1"/>
  <c r="H90" i="28"/>
  <c r="N11" i="2"/>
  <c r="B81" i="28"/>
  <c r="H81" i="28" s="1"/>
  <c r="I81" i="28" s="1"/>
  <c r="N9" i="2"/>
  <c r="B79" i="28"/>
  <c r="H79" i="28" s="1"/>
  <c r="I79" i="28" s="1"/>
  <c r="H77" i="28"/>
  <c r="P10" i="2"/>
  <c r="B93" i="28"/>
  <c r="H93" i="28" s="1"/>
  <c r="I93" i="28" s="1"/>
  <c r="L11" i="2"/>
  <c r="B68" i="28"/>
  <c r="H68" i="28" s="1"/>
  <c r="I68" i="28" s="1"/>
  <c r="L9" i="2"/>
  <c r="B66" i="28"/>
  <c r="H66" i="28" s="1"/>
  <c r="I66" i="28" s="1"/>
  <c r="H64" i="28"/>
  <c r="P7" i="2"/>
  <c r="N7" i="2"/>
  <c r="L7" i="2"/>
  <c r="M22" i="2"/>
  <c r="P22" i="2" s="1"/>
  <c r="D23" i="2"/>
  <c r="R23" i="2"/>
  <c r="O22" i="2"/>
  <c r="K22" i="2"/>
  <c r="N22" i="2" s="1"/>
  <c r="I22" i="2"/>
  <c r="L22" i="2" s="1"/>
  <c r="P58" i="5"/>
  <c r="P31" i="5"/>
  <c r="P15" i="5"/>
  <c r="O58" i="5"/>
  <c r="O31" i="5"/>
  <c r="O15" i="5"/>
  <c r="N58" i="5"/>
  <c r="N31" i="5"/>
  <c r="N15" i="5"/>
  <c r="M58" i="5"/>
  <c r="M31" i="5"/>
  <c r="M15" i="5"/>
  <c r="H91" i="28" l="1"/>
  <c r="I91" i="28" s="1"/>
  <c r="D91" i="28"/>
  <c r="H78" i="28"/>
  <c r="I78" i="28" s="1"/>
  <c r="D78" i="28"/>
  <c r="H65" i="28"/>
  <c r="I65" i="28" s="1"/>
  <c r="D65" i="28"/>
  <c r="P23" i="34"/>
  <c r="Q23" i="34"/>
  <c r="M59" i="5"/>
  <c r="P59" i="5"/>
  <c r="P15" i="34" s="1"/>
  <c r="N59" i="5"/>
  <c r="L15" i="34" s="1"/>
  <c r="O59" i="5"/>
  <c r="N15" i="34" s="1"/>
  <c r="B70" i="28"/>
  <c r="D70" i="28" s="1"/>
  <c r="I77" i="28"/>
  <c r="B96" i="28"/>
  <c r="D96" i="28" s="1"/>
  <c r="B109" i="28"/>
  <c r="D109" i="28" s="1"/>
  <c r="I64" i="28"/>
  <c r="I90" i="28"/>
  <c r="H96" i="28"/>
  <c r="I96" i="28" s="1"/>
  <c r="N9" i="34" s="1"/>
  <c r="I103" i="28"/>
  <c r="H109" i="28"/>
  <c r="I109" i="28" s="1"/>
  <c r="P9" i="34" s="1"/>
  <c r="E14" i="34"/>
  <c r="P26" i="2"/>
  <c r="N26" i="2"/>
  <c r="J15" i="34" l="1"/>
  <c r="Q9" i="34"/>
  <c r="H83" i="28"/>
  <c r="I83" i="28" s="1"/>
  <c r="L9" i="34" s="1"/>
  <c r="H70" i="28"/>
  <c r="I70" i="28" s="1"/>
  <c r="J9" i="34" s="1"/>
  <c r="O9" i="34"/>
  <c r="M9" i="34"/>
  <c r="S23" i="34"/>
  <c r="R23" i="34"/>
  <c r="Q15" i="34"/>
  <c r="O15" i="34"/>
  <c r="O10" i="34"/>
  <c r="Q10" i="34"/>
  <c r="N11" i="34"/>
  <c r="P11" i="34"/>
  <c r="L26" i="2"/>
  <c r="M15" i="34" l="1"/>
  <c r="Q11" i="34"/>
  <c r="M10" i="34"/>
  <c r="L11" i="34"/>
  <c r="O11" i="34" l="1"/>
  <c r="D10" i="29" l="1"/>
  <c r="F10" i="29"/>
  <c r="D11" i="29"/>
  <c r="F11" i="29"/>
  <c r="F9" i="29" l="1"/>
  <c r="D9" i="29"/>
  <c r="A2" i="29" l="1"/>
  <c r="A2" i="28" l="1"/>
  <c r="G56" i="28"/>
  <c r="F56" i="28"/>
  <c r="E56" i="28"/>
  <c r="C56" i="28"/>
  <c r="D56" i="28" s="1"/>
  <c r="G55" i="28"/>
  <c r="F55" i="28"/>
  <c r="E55" i="28"/>
  <c r="C55" i="28"/>
  <c r="D55" i="28" s="1"/>
  <c r="G54" i="28"/>
  <c r="F54" i="28"/>
  <c r="E54" i="28"/>
  <c r="C54" i="28"/>
  <c r="D54" i="28" s="1"/>
  <c r="G53" i="28"/>
  <c r="F53" i="28"/>
  <c r="E53" i="28"/>
  <c r="C53" i="28"/>
  <c r="D53" i="28" s="1"/>
  <c r="F52" i="28"/>
  <c r="F51" i="28"/>
  <c r="C51" i="28"/>
  <c r="G43" i="28"/>
  <c r="F43" i="28"/>
  <c r="E43" i="28"/>
  <c r="C43" i="28"/>
  <c r="D43" i="28" s="1"/>
  <c r="G42" i="28"/>
  <c r="F42" i="28"/>
  <c r="E42" i="28"/>
  <c r="C42" i="28"/>
  <c r="D42" i="28" s="1"/>
  <c r="G41" i="28"/>
  <c r="F41" i="28"/>
  <c r="E41" i="28"/>
  <c r="C41" i="28"/>
  <c r="D41" i="28" s="1"/>
  <c r="G40" i="28"/>
  <c r="F40" i="28"/>
  <c r="E40" i="28"/>
  <c r="C40" i="28"/>
  <c r="D40" i="28" s="1"/>
  <c r="F39" i="28"/>
  <c r="F38" i="28"/>
  <c r="C38" i="28"/>
  <c r="D38" i="28" s="1"/>
  <c r="G30" i="28"/>
  <c r="F30" i="28"/>
  <c r="E30" i="28"/>
  <c r="C30" i="28"/>
  <c r="D30" i="28" s="1"/>
  <c r="G29" i="28"/>
  <c r="F29" i="28"/>
  <c r="E29" i="28"/>
  <c r="C29" i="28"/>
  <c r="D29" i="28" s="1"/>
  <c r="G28" i="28"/>
  <c r="F28" i="28"/>
  <c r="E28" i="28"/>
  <c r="C28" i="28"/>
  <c r="D28" i="28" s="1"/>
  <c r="G27" i="28"/>
  <c r="F27" i="28"/>
  <c r="E27" i="28"/>
  <c r="C27" i="28"/>
  <c r="D27" i="28" s="1"/>
  <c r="F26" i="28"/>
  <c r="F25" i="28"/>
  <c r="C25" i="28"/>
  <c r="G17" i="28"/>
  <c r="F17" i="28"/>
  <c r="E17" i="28"/>
  <c r="C17" i="28"/>
  <c r="D17" i="28" s="1"/>
  <c r="G16" i="28"/>
  <c r="F16" i="28"/>
  <c r="D16" i="28"/>
  <c r="G15" i="28"/>
  <c r="F15" i="28"/>
  <c r="E15" i="28"/>
  <c r="C15" i="28"/>
  <c r="D15" i="28" s="1"/>
  <c r="G14" i="28"/>
  <c r="F14" i="28"/>
  <c r="D14" i="28"/>
  <c r="F13" i="28"/>
  <c r="J12" i="28"/>
  <c r="K12" i="28" s="1"/>
  <c r="F12" i="28"/>
  <c r="D12" i="28"/>
  <c r="F44" i="28" l="1"/>
  <c r="G57" i="28"/>
  <c r="F18" i="28"/>
  <c r="C18" i="28"/>
  <c r="G31" i="28"/>
  <c r="C57" i="28"/>
  <c r="C31" i="28"/>
  <c r="J38" i="28"/>
  <c r="K38" i="28" s="1"/>
  <c r="D51" i="28"/>
  <c r="J51" i="28"/>
  <c r="K51" i="28" s="1"/>
  <c r="E18" i="28"/>
  <c r="D25" i="28"/>
  <c r="J25" i="28"/>
  <c r="K25" i="28" s="1"/>
  <c r="C44" i="28"/>
  <c r="G44" i="28"/>
  <c r="F57" i="28"/>
  <c r="G18" i="28"/>
  <c r="E31" i="28"/>
  <c r="E44" i="28"/>
  <c r="E57" i="28"/>
  <c r="F31" i="28"/>
  <c r="F17" i="21" l="1"/>
  <c r="D17" i="21"/>
  <c r="J58" i="5"/>
  <c r="F58" i="5"/>
  <c r="H34" i="2"/>
  <c r="F34" i="2"/>
  <c r="D34" i="2"/>
  <c r="H32" i="2"/>
  <c r="H31" i="2"/>
  <c r="F32" i="2"/>
  <c r="F31" i="2"/>
  <c r="D32" i="2"/>
  <c r="D31" i="2"/>
  <c r="G17" i="21"/>
  <c r="E17" i="21"/>
  <c r="A2" i="21"/>
  <c r="J31" i="5"/>
  <c r="J15" i="5"/>
  <c r="J14" i="5"/>
  <c r="J13" i="5"/>
  <c r="J12" i="5"/>
  <c r="F31" i="5"/>
  <c r="F15" i="5"/>
  <c r="F14" i="5"/>
  <c r="F13" i="5"/>
  <c r="L15" i="5"/>
  <c r="A2" i="5"/>
  <c r="G9" i="2"/>
  <c r="G10" i="2"/>
  <c r="G11" i="2"/>
  <c r="J11" i="2" s="1"/>
  <c r="G12" i="2"/>
  <c r="J12" i="2" s="1"/>
  <c r="G13" i="2"/>
  <c r="J13" i="2" s="1"/>
  <c r="G14" i="2"/>
  <c r="J14" i="2" s="1"/>
  <c r="G15" i="2"/>
  <c r="J15" i="2" s="1"/>
  <c r="G16" i="2"/>
  <c r="J16" i="2" s="1"/>
  <c r="G17" i="2"/>
  <c r="J17" i="2" s="1"/>
  <c r="G18" i="2"/>
  <c r="J18" i="2" s="1"/>
  <c r="G19" i="2"/>
  <c r="J19" i="2" s="1"/>
  <c r="G20" i="2"/>
  <c r="J20" i="2" s="1"/>
  <c r="E9" i="2"/>
  <c r="E10" i="2"/>
  <c r="E11" i="2"/>
  <c r="H11" i="2" s="1"/>
  <c r="E13" i="2"/>
  <c r="H13" i="2" s="1"/>
  <c r="E15" i="2"/>
  <c r="H15" i="2" s="1"/>
  <c r="E17" i="2"/>
  <c r="H17" i="2" s="1"/>
  <c r="E19" i="2"/>
  <c r="H19" i="2" s="1"/>
  <c r="E12" i="2"/>
  <c r="H12" i="2" s="1"/>
  <c r="E14" i="2"/>
  <c r="H14" i="2" s="1"/>
  <c r="E16" i="2"/>
  <c r="H16" i="2" s="1"/>
  <c r="E18" i="2"/>
  <c r="H18" i="2" s="1"/>
  <c r="E20" i="2"/>
  <c r="H20" i="2" s="1"/>
  <c r="C9" i="2"/>
  <c r="C10" i="2"/>
  <c r="C11" i="2"/>
  <c r="F11" i="2" s="1"/>
  <c r="C12" i="2"/>
  <c r="F12" i="2" s="1"/>
  <c r="C13" i="2"/>
  <c r="F13" i="2" s="1"/>
  <c r="C14" i="2"/>
  <c r="F14" i="2" s="1"/>
  <c r="C16" i="2"/>
  <c r="F16" i="2" s="1"/>
  <c r="C18" i="2"/>
  <c r="F18" i="2" s="1"/>
  <c r="C20" i="2"/>
  <c r="F20" i="2" s="1"/>
  <c r="C15" i="2"/>
  <c r="F15" i="2" s="1"/>
  <c r="C17" i="2"/>
  <c r="F17" i="2" s="1"/>
  <c r="C19" i="2"/>
  <c r="F19" i="2" s="1"/>
  <c r="B9" i="2"/>
  <c r="R9" i="2" s="1"/>
  <c r="B10" i="2"/>
  <c r="B11" i="2"/>
  <c r="B12" i="2"/>
  <c r="B13" i="2"/>
  <c r="B14" i="2"/>
  <c r="B15" i="2"/>
  <c r="B16" i="2"/>
  <c r="B17" i="2"/>
  <c r="B18" i="2"/>
  <c r="B19" i="2"/>
  <c r="B20" i="2"/>
  <c r="H15" i="5"/>
  <c r="H59" i="5" s="1"/>
  <c r="D108" i="9"/>
  <c r="H108" i="9" s="1"/>
  <c r="G108" i="9"/>
  <c r="D87" i="9"/>
  <c r="G87" i="9"/>
  <c r="H87" i="9"/>
  <c r="G66" i="9"/>
  <c r="D66" i="9"/>
  <c r="H66" i="9"/>
  <c r="D45" i="9"/>
  <c r="H45" i="9" s="1"/>
  <c r="G45" i="9"/>
  <c r="D24" i="9"/>
  <c r="G24" i="9"/>
  <c r="H24" i="9"/>
  <c r="D37" i="9"/>
  <c r="G37" i="9"/>
  <c r="H37" i="9"/>
  <c r="F47" i="9"/>
  <c r="E47" i="9"/>
  <c r="C47" i="9"/>
  <c r="B47" i="9"/>
  <c r="D46" i="9"/>
  <c r="G46" i="9"/>
  <c r="H46" i="9"/>
  <c r="G44" i="9"/>
  <c r="D44" i="9"/>
  <c r="H44" i="9"/>
  <c r="G43" i="9"/>
  <c r="D43" i="9"/>
  <c r="H43" i="9" s="1"/>
  <c r="G42" i="9"/>
  <c r="H42" i="9" s="1"/>
  <c r="D42" i="9"/>
  <c r="G41" i="9"/>
  <c r="D41" i="9"/>
  <c r="H41" i="9" s="1"/>
  <c r="G40" i="9"/>
  <c r="D40" i="9"/>
  <c r="H40" i="9" s="1"/>
  <c r="G39" i="9"/>
  <c r="D39" i="9"/>
  <c r="H39" i="9"/>
  <c r="G38" i="9"/>
  <c r="D38" i="9"/>
  <c r="D47" i="9" s="1"/>
  <c r="G36" i="9"/>
  <c r="D36" i="9"/>
  <c r="G34" i="9"/>
  <c r="D34" i="9"/>
  <c r="H34" i="9"/>
  <c r="G33" i="9"/>
  <c r="D33" i="9"/>
  <c r="G32" i="9"/>
  <c r="G47" i="9" s="1"/>
  <c r="D32" i="9"/>
  <c r="G31" i="9"/>
  <c r="D31" i="9"/>
  <c r="H31" i="9" s="1"/>
  <c r="F110" i="9"/>
  <c r="E110" i="9"/>
  <c r="C110" i="9"/>
  <c r="B110" i="9"/>
  <c r="G109" i="9"/>
  <c r="D109" i="9"/>
  <c r="H109" i="9" s="1"/>
  <c r="G107" i="9"/>
  <c r="D107" i="9"/>
  <c r="H107" i="9" s="1"/>
  <c r="G106" i="9"/>
  <c r="D106" i="9"/>
  <c r="H106" i="9"/>
  <c r="G105" i="9"/>
  <c r="D105" i="9"/>
  <c r="H105" i="9"/>
  <c r="G104" i="9"/>
  <c r="H104" i="9" s="1"/>
  <c r="D104" i="9"/>
  <c r="G103" i="9"/>
  <c r="D103" i="9"/>
  <c r="G102" i="9"/>
  <c r="D102" i="9"/>
  <c r="G101" i="9"/>
  <c r="D101" i="9"/>
  <c r="G100" i="9"/>
  <c r="D100" i="9"/>
  <c r="H100" i="9" s="1"/>
  <c r="G99" i="9"/>
  <c r="G110" i="9" s="1"/>
  <c r="D99" i="9"/>
  <c r="H99" i="9"/>
  <c r="G98" i="9"/>
  <c r="D98" i="9"/>
  <c r="G97" i="9"/>
  <c r="D97" i="9"/>
  <c r="G96" i="9"/>
  <c r="D96" i="9"/>
  <c r="H96" i="9" s="1"/>
  <c r="G95" i="9"/>
  <c r="D95" i="9"/>
  <c r="D110" i="9" s="1"/>
  <c r="G94" i="9"/>
  <c r="D94" i="9"/>
  <c r="F89" i="9"/>
  <c r="E89" i="9"/>
  <c r="C89" i="9"/>
  <c r="B89" i="9"/>
  <c r="G88" i="9"/>
  <c r="D88" i="9"/>
  <c r="H88" i="9"/>
  <c r="G86" i="9"/>
  <c r="D86" i="9"/>
  <c r="H86" i="9" s="1"/>
  <c r="G85" i="9"/>
  <c r="H85" i="9" s="1"/>
  <c r="D85" i="9"/>
  <c r="G84" i="9"/>
  <c r="D84" i="9"/>
  <c r="G83" i="9"/>
  <c r="D83" i="9"/>
  <c r="H83" i="9"/>
  <c r="G82" i="9"/>
  <c r="H82" i="9" s="1"/>
  <c r="D82" i="9"/>
  <c r="G81" i="9"/>
  <c r="D81" i="9"/>
  <c r="H81" i="9"/>
  <c r="G80" i="9"/>
  <c r="D80" i="9"/>
  <c r="G79" i="9"/>
  <c r="D79" i="9"/>
  <c r="H79" i="9"/>
  <c r="G78" i="9"/>
  <c r="D78" i="9"/>
  <c r="H78" i="9" s="1"/>
  <c r="G77" i="9"/>
  <c r="D77" i="9"/>
  <c r="H77" i="9"/>
  <c r="G76" i="9"/>
  <c r="D76" i="9"/>
  <c r="H76" i="9"/>
  <c r="G75" i="9"/>
  <c r="G89" i="9" s="1"/>
  <c r="D75" i="9"/>
  <c r="H75" i="9" s="1"/>
  <c r="G74" i="9"/>
  <c r="H74" i="9" s="1"/>
  <c r="D74" i="9"/>
  <c r="G73" i="9"/>
  <c r="D73" i="9"/>
  <c r="G56" i="9"/>
  <c r="D56" i="9"/>
  <c r="H56" i="9"/>
  <c r="F68" i="9"/>
  <c r="E68" i="9"/>
  <c r="C68" i="9"/>
  <c r="B68" i="9"/>
  <c r="G67" i="9"/>
  <c r="D67" i="9"/>
  <c r="G65" i="9"/>
  <c r="D65" i="9"/>
  <c r="H65" i="9" s="1"/>
  <c r="G64" i="9"/>
  <c r="D64" i="9"/>
  <c r="H64" i="9"/>
  <c r="G63" i="9"/>
  <c r="H63" i="9" s="1"/>
  <c r="D63" i="9"/>
  <c r="G62" i="9"/>
  <c r="D62" i="9"/>
  <c r="H62" i="9" s="1"/>
  <c r="G61" i="9"/>
  <c r="D61" i="9"/>
  <c r="H61" i="9" s="1"/>
  <c r="G60" i="9"/>
  <c r="D60" i="9"/>
  <c r="H60" i="9" s="1"/>
  <c r="G59" i="9"/>
  <c r="D59" i="9"/>
  <c r="H59" i="9" s="1"/>
  <c r="G58" i="9"/>
  <c r="D58" i="9"/>
  <c r="H58" i="9" s="1"/>
  <c r="G57" i="9"/>
  <c r="D57" i="9"/>
  <c r="H57" i="9" s="1"/>
  <c r="G55" i="9"/>
  <c r="D55" i="9"/>
  <c r="G54" i="9"/>
  <c r="D54" i="9"/>
  <c r="G53" i="9"/>
  <c r="D53" i="9"/>
  <c r="D68" i="9" s="1"/>
  <c r="G52" i="9"/>
  <c r="G68" i="9" s="1"/>
  <c r="D52" i="9"/>
  <c r="F26" i="9"/>
  <c r="E26" i="9"/>
  <c r="C26" i="9"/>
  <c r="B26" i="9"/>
  <c r="H54" i="9"/>
  <c r="H97" i="9"/>
  <c r="H33" i="9"/>
  <c r="H32" i="9"/>
  <c r="H36" i="9"/>
  <c r="H103" i="9"/>
  <c r="H67" i="9"/>
  <c r="H73" i="9"/>
  <c r="H94" i="9"/>
  <c r="H101" i="9"/>
  <c r="H55" i="9"/>
  <c r="H80" i="9"/>
  <c r="H98" i="9"/>
  <c r="H84" i="9"/>
  <c r="H102" i="9"/>
  <c r="H95" i="9"/>
  <c r="H52" i="9"/>
  <c r="G10" i="9"/>
  <c r="D10" i="9"/>
  <c r="H10" i="9"/>
  <c r="G25" i="9"/>
  <c r="D25" i="9"/>
  <c r="G23" i="9"/>
  <c r="D23" i="9"/>
  <c r="G22" i="9"/>
  <c r="H22" i="9" s="1"/>
  <c r="D22" i="9"/>
  <c r="G21" i="9"/>
  <c r="D21" i="9"/>
  <c r="H21" i="9"/>
  <c r="G20" i="9"/>
  <c r="D20" i="9"/>
  <c r="G19" i="9"/>
  <c r="D19" i="9"/>
  <c r="G18" i="9"/>
  <c r="D18" i="9"/>
  <c r="H18" i="9" s="1"/>
  <c r="G17" i="9"/>
  <c r="D17" i="9"/>
  <c r="H17" i="9"/>
  <c r="G15" i="9"/>
  <c r="D15" i="9"/>
  <c r="G13" i="9"/>
  <c r="D13" i="9"/>
  <c r="D26" i="9" s="1"/>
  <c r="G12" i="9"/>
  <c r="H12" i="9" s="1"/>
  <c r="D12" i="9"/>
  <c r="G11" i="9"/>
  <c r="G26" i="9" s="1"/>
  <c r="D11" i="9"/>
  <c r="H11" i="9" s="1"/>
  <c r="H15" i="9"/>
  <c r="H20" i="9"/>
  <c r="H25" i="9"/>
  <c r="H13" i="9"/>
  <c r="H19" i="9"/>
  <c r="H23" i="9"/>
  <c r="A1" i="9"/>
  <c r="A2" i="9"/>
  <c r="A2" i="2"/>
  <c r="D18" i="21" l="1"/>
  <c r="E18" i="21"/>
  <c r="G18" i="21"/>
  <c r="F59" i="5"/>
  <c r="F16" i="34" s="1"/>
  <c r="I16" i="34" s="1"/>
  <c r="L59" i="5"/>
  <c r="J59" i="5"/>
  <c r="H16" i="34" s="1"/>
  <c r="J16" i="34" s="1"/>
  <c r="E12" i="5"/>
  <c r="F8" i="34"/>
  <c r="G8" i="34" s="1"/>
  <c r="F7" i="2"/>
  <c r="R7" i="2"/>
  <c r="H7" i="2"/>
  <c r="J7" i="2"/>
  <c r="D20" i="2"/>
  <c r="R20" i="2"/>
  <c r="D12" i="2"/>
  <c r="R12" i="2"/>
  <c r="D19" i="2"/>
  <c r="R19" i="2"/>
  <c r="D10" i="2"/>
  <c r="R10" i="2"/>
  <c r="D17" i="2"/>
  <c r="R17" i="2"/>
  <c r="D11" i="2"/>
  <c r="R11" i="2"/>
  <c r="D18" i="2"/>
  <c r="R18" i="2"/>
  <c r="D16" i="2"/>
  <c r="R16" i="2"/>
  <c r="D8" i="2"/>
  <c r="R8" i="2"/>
  <c r="D14" i="2"/>
  <c r="R14" i="2"/>
  <c r="D15" i="2"/>
  <c r="R15" i="2"/>
  <c r="D13" i="2"/>
  <c r="R13" i="2"/>
  <c r="B41" i="28"/>
  <c r="H41" i="28" s="1"/>
  <c r="I41" i="28" s="1"/>
  <c r="H10" i="2"/>
  <c r="B52" i="28"/>
  <c r="J8" i="2"/>
  <c r="B28" i="28"/>
  <c r="H28" i="28" s="1"/>
  <c r="I28" i="28" s="1"/>
  <c r="F10" i="2"/>
  <c r="B39" i="28"/>
  <c r="H8" i="2"/>
  <c r="B26" i="28"/>
  <c r="F8" i="2"/>
  <c r="B27" i="28"/>
  <c r="H27" i="28" s="1"/>
  <c r="I27" i="28" s="1"/>
  <c r="F9" i="2"/>
  <c r="B54" i="28"/>
  <c r="H54" i="28" s="1"/>
  <c r="I54" i="28" s="1"/>
  <c r="J10" i="2"/>
  <c r="B53" i="28"/>
  <c r="H53" i="28" s="1"/>
  <c r="I53" i="28" s="1"/>
  <c r="J9" i="2"/>
  <c r="B40" i="28"/>
  <c r="H40" i="28" s="1"/>
  <c r="I40" i="28" s="1"/>
  <c r="H9" i="2"/>
  <c r="B14" i="28"/>
  <c r="H14" i="28" s="1"/>
  <c r="I14" i="28" s="1"/>
  <c r="D9" i="2"/>
  <c r="B13" i="28"/>
  <c r="B12" i="28"/>
  <c r="H12" i="28" s="1"/>
  <c r="I12" i="28" s="1"/>
  <c r="D7" i="2"/>
  <c r="E22" i="2"/>
  <c r="H22" i="2" s="1"/>
  <c r="G22" i="2"/>
  <c r="J22" i="2" s="1"/>
  <c r="B15" i="28"/>
  <c r="H15" i="28" s="1"/>
  <c r="I15" i="28" s="1"/>
  <c r="B21" i="2"/>
  <c r="B22" i="2"/>
  <c r="G21" i="2"/>
  <c r="J21" i="2" s="1"/>
  <c r="E21" i="2"/>
  <c r="H21" i="2" s="1"/>
  <c r="C22" i="2"/>
  <c r="F22" i="2" s="1"/>
  <c r="C21" i="2"/>
  <c r="F21" i="2" s="1"/>
  <c r="H26" i="9"/>
  <c r="H110" i="9"/>
  <c r="H89" i="9"/>
  <c r="D89" i="9"/>
  <c r="H53" i="9"/>
  <c r="H68" i="9" s="1"/>
  <c r="H38" i="9"/>
  <c r="H47" i="9" s="1"/>
  <c r="F18" i="21"/>
  <c r="I14" i="5"/>
  <c r="I15" i="5"/>
  <c r="B51" i="28"/>
  <c r="H51" i="28" s="1"/>
  <c r="I51" i="28" s="1"/>
  <c r="C33" i="2"/>
  <c r="B38" i="28"/>
  <c r="H38" i="28" s="1"/>
  <c r="I38" i="28" s="1"/>
  <c r="B25" i="28"/>
  <c r="H25" i="28" s="1"/>
  <c r="I25" i="28" s="1"/>
  <c r="G33" i="2"/>
  <c r="B29" i="28"/>
  <c r="H29" i="28" s="1"/>
  <c r="I29" i="28" s="1"/>
  <c r="B17" i="28"/>
  <c r="H17" i="28" s="1"/>
  <c r="I17" i="28" s="1"/>
  <c r="B56" i="28"/>
  <c r="H56" i="28" s="1"/>
  <c r="I56" i="28" s="1"/>
  <c r="E33" i="2"/>
  <c r="B30" i="28"/>
  <c r="H30" i="28" s="1"/>
  <c r="I30" i="28" s="1"/>
  <c r="B42" i="28"/>
  <c r="H42" i="28" s="1"/>
  <c r="I42" i="28" s="1"/>
  <c r="B16" i="28"/>
  <c r="H16" i="28" s="1"/>
  <c r="I16" i="28" s="1"/>
  <c r="B43" i="28"/>
  <c r="H43" i="28" s="1"/>
  <c r="I43" i="28" s="1"/>
  <c r="B55" i="28"/>
  <c r="H55" i="28" s="1"/>
  <c r="I55" i="28" s="1"/>
  <c r="B33" i="2"/>
  <c r="D33" i="2" s="1"/>
  <c r="E14" i="5"/>
  <c r="I13" i="5"/>
  <c r="I31" i="5"/>
  <c r="E58" i="5"/>
  <c r="E15" i="5"/>
  <c r="E13" i="5"/>
  <c r="E31" i="5"/>
  <c r="I12" i="5"/>
  <c r="I58" i="5"/>
  <c r="L16" i="34" l="1"/>
  <c r="J14" i="34"/>
  <c r="L6" i="5"/>
  <c r="L8" i="34" s="1"/>
  <c r="P8" i="34"/>
  <c r="R8" i="34" s="1"/>
  <c r="S8" i="34" s="1"/>
  <c r="H6" i="5"/>
  <c r="H33" i="2"/>
  <c r="F33" i="2"/>
  <c r="H52" i="28"/>
  <c r="I52" i="28" s="1"/>
  <c r="D52" i="28"/>
  <c r="H39" i="28"/>
  <c r="I39" i="28" s="1"/>
  <c r="D39" i="28"/>
  <c r="H26" i="28"/>
  <c r="I26" i="28" s="1"/>
  <c r="D26" i="28"/>
  <c r="H13" i="28"/>
  <c r="I13" i="28" s="1"/>
  <c r="D13" i="28"/>
  <c r="H8" i="34"/>
  <c r="E59" i="5"/>
  <c r="F15" i="34" s="1"/>
  <c r="I59" i="5"/>
  <c r="H15" i="34" s="1"/>
  <c r="H14" i="34" s="1"/>
  <c r="D22" i="2"/>
  <c r="R22" i="2"/>
  <c r="D21" i="2"/>
  <c r="R21" i="2"/>
  <c r="R26" i="2"/>
  <c r="B18" i="28"/>
  <c r="D18" i="28" s="1"/>
  <c r="B31" i="28"/>
  <c r="D31" i="28" s="1"/>
  <c r="B44" i="28"/>
  <c r="D44" i="28" s="1"/>
  <c r="H44" i="28"/>
  <c r="I44" i="28" s="1"/>
  <c r="F9" i="34" s="1"/>
  <c r="H18" i="28"/>
  <c r="I18" i="28" s="1"/>
  <c r="C9" i="34" s="1"/>
  <c r="R9" i="34" s="1"/>
  <c r="S9" i="34" s="1"/>
  <c r="H57" i="28"/>
  <c r="I57" i="28" s="1"/>
  <c r="H9" i="34" s="1"/>
  <c r="K9" i="34" s="1"/>
  <c r="H31" i="28"/>
  <c r="I31" i="28" s="1"/>
  <c r="D9" i="34" s="1"/>
  <c r="B57" i="28"/>
  <c r="D57" i="28" s="1"/>
  <c r="N16" i="34" l="1"/>
  <c r="L14" i="34"/>
  <c r="N8" i="34"/>
  <c r="N13" i="34" s="1"/>
  <c r="J8" i="34"/>
  <c r="J12" i="34" s="1"/>
  <c r="I9" i="34"/>
  <c r="G9" i="34"/>
  <c r="R15" i="34"/>
  <c r="F14" i="34"/>
  <c r="G14" i="34" s="1"/>
  <c r="L12" i="34"/>
  <c r="L13" i="34"/>
  <c r="P13" i="34"/>
  <c r="R13" i="34" s="1"/>
  <c r="S13" i="34" s="1"/>
  <c r="P12" i="34"/>
  <c r="R12" i="34" s="1"/>
  <c r="S12" i="34" s="1"/>
  <c r="H13" i="34"/>
  <c r="H12" i="34"/>
  <c r="F13" i="34"/>
  <c r="I8" i="34"/>
  <c r="F12" i="34"/>
  <c r="K15" i="34"/>
  <c r="I15" i="34"/>
  <c r="E9" i="34"/>
  <c r="D26" i="2"/>
  <c r="G10" i="34"/>
  <c r="H26" i="2"/>
  <c r="K10" i="34"/>
  <c r="J11" i="34"/>
  <c r="J26" i="2"/>
  <c r="F26" i="2"/>
  <c r="P16" i="34" l="1"/>
  <c r="P14" i="34" s="1"/>
  <c r="R14" i="34" s="1"/>
  <c r="S14" i="34" s="1"/>
  <c r="N14" i="34"/>
  <c r="N12" i="34"/>
  <c r="Q12" i="34" s="1"/>
  <c r="K8" i="34"/>
  <c r="J13" i="34"/>
  <c r="K13" i="34" s="1"/>
  <c r="Q8" i="34"/>
  <c r="O8" i="34"/>
  <c r="M8" i="34"/>
  <c r="Q13" i="34"/>
  <c r="M12" i="34"/>
  <c r="O13" i="34"/>
  <c r="M13" i="34"/>
  <c r="O12" i="34"/>
  <c r="K12" i="34"/>
  <c r="I13" i="34"/>
  <c r="G13" i="34"/>
  <c r="I12" i="34"/>
  <c r="G12" i="34"/>
  <c r="F17" i="34"/>
  <c r="G17" i="34" s="1"/>
  <c r="I14" i="34"/>
  <c r="M11" i="34"/>
  <c r="H11" i="34"/>
  <c r="D11" i="34"/>
  <c r="E10" i="34"/>
  <c r="I10" i="34"/>
  <c r="F11" i="34"/>
  <c r="G11" i="34" l="1"/>
  <c r="R11" i="34"/>
  <c r="F18" i="34"/>
  <c r="H17" i="34"/>
  <c r="H18" i="34" s="1"/>
  <c r="K14" i="34"/>
  <c r="K11" i="34"/>
  <c r="I11" i="34"/>
  <c r="H24" i="34" l="1"/>
  <c r="H35" i="34"/>
  <c r="K35" i="34" s="1"/>
  <c r="F24" i="34"/>
  <c r="F35" i="34"/>
  <c r="I35" i="34" s="1"/>
  <c r="H25" i="34"/>
  <c r="H36" i="34"/>
  <c r="F36" i="34"/>
  <c r="F25" i="34"/>
  <c r="I18" i="34"/>
  <c r="H34" i="34"/>
  <c r="K34" i="34" s="1"/>
  <c r="G18" i="34"/>
  <c r="F34" i="34"/>
  <c r="I34" i="34" s="1"/>
  <c r="J17" i="34"/>
  <c r="K17" i="34" s="1"/>
  <c r="M14" i="34"/>
  <c r="I17" i="34"/>
  <c r="I24" i="34" l="1"/>
  <c r="G24" i="34"/>
  <c r="I25" i="34"/>
  <c r="G25" i="34"/>
  <c r="I36" i="34"/>
  <c r="F37" i="34"/>
  <c r="K36" i="34"/>
  <c r="H37" i="34"/>
  <c r="L17" i="34"/>
  <c r="M17" i="34" s="1"/>
  <c r="J18" i="34"/>
  <c r="O14" i="34"/>
  <c r="J36" i="34" l="1"/>
  <c r="J25" i="34"/>
  <c r="K18" i="34"/>
  <c r="J24" i="34"/>
  <c r="J35" i="34"/>
  <c r="M35" i="34" s="1"/>
  <c r="I37" i="34"/>
  <c r="G37" i="34"/>
  <c r="J34" i="34"/>
  <c r="M34" i="34" s="1"/>
  <c r="N17" i="34"/>
  <c r="O17" i="34" s="1"/>
  <c r="L18" i="34"/>
  <c r="Q14" i="34"/>
  <c r="K25" i="34" l="1"/>
  <c r="M36" i="34"/>
  <c r="J37" i="34"/>
  <c r="L24" i="34"/>
  <c r="M24" i="34" s="1"/>
  <c r="L35" i="34"/>
  <c r="O35" i="34" s="1"/>
  <c r="K24" i="34"/>
  <c r="L34" i="34"/>
  <c r="O34" i="34" s="1"/>
  <c r="M18" i="34"/>
  <c r="L36" i="34"/>
  <c r="L25" i="34"/>
  <c r="P17" i="34"/>
  <c r="Q17" i="34" s="1"/>
  <c r="N18" i="34"/>
  <c r="K37" i="34" l="1"/>
  <c r="N36" i="34"/>
  <c r="N25" i="34"/>
  <c r="O25" i="34" s="1"/>
  <c r="M25" i="34"/>
  <c r="N24" i="34"/>
  <c r="O24" i="34" s="1"/>
  <c r="N35" i="34"/>
  <c r="Q35" i="34" s="1"/>
  <c r="N34" i="34"/>
  <c r="Q34" i="34" s="1"/>
  <c r="P18" i="34"/>
  <c r="R17" i="34"/>
  <c r="S17" i="34" s="1"/>
  <c r="O36" i="34"/>
  <c r="L37" i="34"/>
  <c r="O18" i="34"/>
  <c r="Q36" i="34" l="1"/>
  <c r="N37" i="34"/>
  <c r="O37" i="34" s="1"/>
  <c r="P25" i="34"/>
  <c r="P36" i="34"/>
  <c r="M37" i="34"/>
  <c r="P35" i="34"/>
  <c r="P24" i="34"/>
  <c r="Q24" i="34" s="1"/>
  <c r="P34" i="34"/>
  <c r="R18" i="34"/>
  <c r="S18" i="34" s="1"/>
  <c r="Q18" i="34"/>
  <c r="P37" i="34" l="1"/>
  <c r="Q37" i="34" s="1"/>
  <c r="S25" i="34"/>
  <c r="R25" i="34"/>
  <c r="Q25" i="34"/>
  <c r="S24" i="34"/>
  <c r="R24" i="34"/>
  <c r="R37" i="34" l="1"/>
  <c r="S37" i="34"/>
</calcChain>
</file>

<file path=xl/sharedStrings.xml><?xml version="1.0" encoding="utf-8"?>
<sst xmlns="http://schemas.openxmlformats.org/spreadsheetml/2006/main" count="774" uniqueCount="400">
  <si>
    <t xml:space="preserve">INSTRUCTIONS FOR SUBMITTING 2023 INSTITUTIONAL SIX-YEAR PLAN </t>
  </si>
  <si>
    <t>Due Date: July 17, 2023</t>
  </si>
  <si>
    <t xml:space="preserve">PLEASE READ INSTRUCTIONS CAREFULLY </t>
  </si>
  <si>
    <t>Six-year Plan Requirement</t>
  </si>
  <si>
    <t xml:space="preserve">The Higher Education Opportunity Act of 2011 (TJ21) requires Virginia’s public institutions of higher education to prepare and submit six-year plans.  (See below for complete  code reference.)  During the 2015 General Assembly session, joint resolutions approved by the House (HJR 555) and Senate (SJ 228) also require that the mission, vision, goals, and strategies expressed in the Virginia Plan, the statewide strategic plan, guide the development of the strategic plan and six-year plan at each public institution of higher education, as well as the agency plan for SCHEV, and that SCHEV report annually on the Commonwealth's progress toward achieving these goals and targets to the Governor, General Assembly, institutions of higher education and the public.  </t>
  </si>
  <si>
    <t>2023 Six-Year Plan Format</t>
  </si>
  <si>
    <r>
      <t xml:space="preserve">The 2023 Six-Year Plan consists of a workbook and an accompanying narrative.  The workbook has an Instructions page, Institution ID page and eight parts/worksheets: Enrollment, Undergraduate Tuition and Fee Increase Rates, Revenue, Financial Aid, Academic-Financial, General Fund (GF) Request, and Pro Forma.  </t>
    </r>
    <r>
      <rPr>
        <b/>
        <sz val="11"/>
        <rFont val="Arial"/>
        <family val="2"/>
      </rPr>
      <t>Note: Shaded cells contain formulas.</t>
    </r>
    <r>
      <rPr>
        <sz val="11"/>
        <rFont val="Arial"/>
        <family val="2"/>
      </rPr>
      <t xml:space="preserve"> Instructions for the narrative are provided in a separate attachment.  Though the Enrollment/Degree Projections are being developed in a separate process, institutions are required to provide a summary of enrollment projections in Tab 1 so they can be considered as part of the six-year planning process alongside the financial projections and pro forma analysis. </t>
    </r>
  </si>
  <si>
    <r>
      <t xml:space="preserve">The 2023 Six-Year Plans are due July 17, 2023.  The review group (referred to as Op Six) as outlined in § 23.1-306 - see Legislative Reference section below - will meet with each institution in August to review the institution's plan and provide comments. If changes to the plans are recommended, revised institutional submissions are </t>
    </r>
    <r>
      <rPr>
        <sz val="11"/>
        <color theme="1"/>
        <rFont val="Arial"/>
        <family val="2"/>
      </rPr>
      <t>due no later than October 1 or immediately following an institution's Board of Visitors' meeting, if it is later than October 1.</t>
    </r>
  </si>
  <si>
    <t>INSTRUCTIONS FOR SECTIONS</t>
  </si>
  <si>
    <t>1. Undergraduate Tuition and Fee Increase Rate Plan</t>
  </si>
  <si>
    <t>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</si>
  <si>
    <t>2. Revenue</t>
  </si>
  <si>
    <r>
      <rPr>
        <u/>
        <sz val="11"/>
        <rFont val="Arial"/>
        <family val="2"/>
      </rPr>
      <t>For FY2023- FY2026</t>
    </r>
    <r>
      <rPr>
        <sz val="11"/>
        <rFont val="Arial"/>
        <family val="2"/>
      </rPr>
      <t>: Based on assumptions of no new general fund, enrollment changes and other institution-specific conditions, provide total collected or projected to collect revenues (after discounts and waivers) 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t>
    </r>
  </si>
  <si>
    <r>
      <rPr>
        <u/>
        <sz val="11"/>
        <rFont val="Arial"/>
        <family val="2"/>
      </rPr>
      <t>For 2027-FY2030</t>
    </r>
    <r>
      <rPr>
        <sz val="11"/>
        <rFont val="Arial"/>
        <family val="2"/>
      </rPr>
      <t>: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r>
  </si>
  <si>
    <t>3. Financial Aid</t>
  </si>
  <si>
    <t xml:space="preserve">Provide a breakdown of the projected source and distribution of tuition and fee revenue redirected to financial aid.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  "Other Discounts and Waiver" means the totals of any unfunded full or partial tuition waiver reducing the students' charges, including Virginia Military Survivors and Dependent Education Program and the Senior Citizens Tuition Waiver. Do not include the tuition differential for the tuition exceptions. Note:  If you do not have actual amounts for Tuition Revenue for Financial Aid by student category, please provide an estimate.  If values are not distributed for Tuition Revenue for Financial Aid, a distribution may be calculated for your institution.  </t>
  </si>
  <si>
    <t>4. Academic-Financial Plan</t>
  </si>
  <si>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Lines 5 and 6 are newly added to collect the estimated E&amp;G expenditures of 2022-23 and 2023-24 as baselines for Tab 5 Pro Forma.     </t>
  </si>
  <si>
    <t>For the 2026-28 bienium and 2028-2030 bienium, total amounts should be provided as estimates of future expenditures on these items but delineation of reallocation vs. tuition revenue vs. GF does not need to be provided by the institution.
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</si>
  <si>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i/>
        <sz val="11"/>
        <rFont val="Arial"/>
        <family val="2"/>
      </rPr>
      <t>Pathways to Opportunity: The Virginia Plan for Higher Education.</t>
    </r>
    <r>
      <rPr>
        <sz val="11"/>
        <rFont val="Arial"/>
        <family val="2"/>
      </rPr>
      <t xml:space="preserve"> In the column labeled "VP Goal," identify the goal of the The Virginia Plan (VP) that applies to each institutional strategy using the appropriate number (i.e., 1, 2, or 3).  The three VP goals are listed below.  In the Narrative document (Section B), institutions should provide more detailed information.</t>
    </r>
  </si>
  <si>
    <r>
      <rPr>
        <sz val="12"/>
        <color rgb="FF000000"/>
        <rFont val="Arial"/>
        <family val="2"/>
      </rPr>
      <t xml:space="preserve">The Virginia Plan has three major goals (please refer to the Plan at </t>
    </r>
    <r>
      <rPr>
        <b/>
        <sz val="12"/>
        <color rgb="FF000000"/>
        <rFont val="Arial"/>
        <family val="2"/>
      </rPr>
      <t>https://www.schev.edu/research-publications/strategic-plan</t>
    </r>
    <r>
      <rPr>
        <sz val="12"/>
        <color rgb="FF000000"/>
        <rFont val="Arial"/>
        <family val="2"/>
      </rPr>
      <t xml:space="preserve"> for more information about the strategies under each goal):</t>
    </r>
  </si>
  <si>
    <t>GOAL 1 EQUITABLE: CLOSE ACCESS AND COMPLETION GAPS.</t>
  </si>
  <si>
    <t>GOAL 2 AFFORDABLE: LOWER COSTS TO STUDENTS.</t>
  </si>
  <si>
    <t>GOAL 3 TRANSFORMATIVE: EXPAND PROSPERITY.</t>
  </si>
  <si>
    <t>5. Six-Year Pro Forma Calculations</t>
  </si>
  <si>
    <t>Instructions: No new data needs to be added on this tab; it is entirely comprised by formulas. The top section pulls in data from the previous tabs to calculate a pro forma budget surplus/deficit for the 6 years. The following section calculates what T&amp;F (price) and GF increases would theoretically need to occur each year in order to cover the deficit and maintain the 2022-23 GF/NGF split. At the bottom is a blended scenario calculator that a user can leverage to calculate custom "shared" scenarios where deficits can be covered by a combination of expenditure reduction, T&amp;F increases, and GF increases. Cells D28:30 should be set by the user (so long as they add up to 100%) and the results will flow into the rows below that automatically. 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 It does account for the salary/health insurance/VITA increases from tab 4, including the corresponding GF increases.</t>
  </si>
  <si>
    <t>6. General Fund (GF) Request</t>
  </si>
  <si>
    <t>Instructions: Indicate items for which you anticipate making a request for state general fund in the 2024-26 biennium. The item can be a supplement to a strategy or item from the academic and financial plan or it can be a free-standing request for which no tuition revenue would be used. If it is a supplement to a strategy or item from the academic and financial plan, use the same title used in Part 4 and place it in bold print to draw attention to its connection to Part 6. Also, describe in the Notes column how additional general fund will enhance or expand the strategy. Requests for need-based financial aid appropriated in program 108 should be included here. If additional rows are added, please update the total costs formulas.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</si>
  <si>
    <r>
      <rPr>
        <b/>
        <sz val="11"/>
        <color rgb="FF000000"/>
        <rFont val="Arial"/>
        <family val="2"/>
      </rPr>
      <t xml:space="preserve">Enrollment/Degree Projections: </t>
    </r>
    <r>
      <rPr>
        <sz val="11"/>
        <color rgb="FF000000"/>
        <rFont val="Arial"/>
        <family val="2"/>
      </rPr>
      <t xml:space="preserve"> Detailed six-year enrollment/degree projections are being collected through a separate process.  These projections will be incorporated in the Six-Year Plan as part of the July and August institutional meetings with the Op Six.     </t>
    </r>
  </si>
  <si>
    <r>
      <rPr>
        <b/>
        <sz val="11"/>
        <color rgb="FF000000"/>
        <rFont val="Arial"/>
        <family val="2"/>
      </rPr>
      <t xml:space="preserve">BOV Approval:  </t>
    </r>
    <r>
      <rPr>
        <sz val="11"/>
        <color rgb="FF000000"/>
        <rFont val="Arial"/>
        <family val="2"/>
      </rPr>
      <t>Final board approval of the  Six-Year Plan should be done at the earliest possible fall meeting.  HB 897 (2018) specified that initial plans do not get posted on the General Assembly's website and that final plans should be submitted to DLAS no later than December 1.  However, we are requesting that  institutions submit final plans with their responses to Op Six Comments on October 1 (or as soon after fall board meetings as possible) as has been done in the past.  We post the responses and final plans for review by the Op Six for a period of time prior to posting to SCHEV's website.</t>
    </r>
  </si>
  <si>
    <r>
      <rPr>
        <b/>
        <sz val="11"/>
        <rFont val="Arial"/>
        <family val="2"/>
      </rPr>
      <t>Accessibility:</t>
    </r>
    <r>
      <rPr>
        <sz val="11"/>
        <rFont val="Arial"/>
        <family val="2"/>
      </rPr>
      <t xml:space="preserve">  All files need to be checked for accessibility prior to submitting them.  Information on accessibility is provided at this link on SCHEV's website: http://schev.edu/index/accessiblity/creating-accessible-content.  The first link, "How to Make Your MS Office Documents Accessible" can be used to learn how to check documents.  Only errors, not warnings, must be addressed. </t>
    </r>
  </si>
  <si>
    <t>Contacts for Questions:</t>
  </si>
  <si>
    <t xml:space="preserve">General Questions - Thomas Allison (tomallison@schev.edu) </t>
  </si>
  <si>
    <t>Academic - Joe DeFilippo (joedefilippo@schev.edu)</t>
  </si>
  <si>
    <t>Finance - Yan Zheng (yanzheng@schev.edu)</t>
  </si>
  <si>
    <t>Financial Aid - Lee Andes (leeandes@schev.edu)</t>
  </si>
  <si>
    <t>Enrollment/Degree Projections - Tod Massa (todmassa@schev.edu)</t>
  </si>
  <si>
    <t>Legislative Reference:</t>
  </si>
  <si>
    <t xml:space="preserve">§ 23.1 - 306. Institutional Six-Year Plans. </t>
  </si>
  <si>
    <t>A. The governing board of each public institution of higher education shall (i) develop and adopt biennially and amend or affirm annually a six-year plan for the institution;
(ii) submit such plan to the Council, the General Assembly, the Governor, and the Chairmen of the House Committee on Appropriations, the House Committee on Education, the Senate Committee on Education and Health, and the Senate Committee on Finance no later than July 1 of each odd-numbered year; and (iii) submit amendments to or an affirmation of that plan no later than July 1 of each even-numbered year or at any other time permitted by the Governor or General Assembly to the
Council, the General Assembly, the Governor, and the Chairmen of the House Committee on Appropriations, the House Committee on Education, the Senate Committee on Education and Health, and the Senate Committee on Finance. Each such plan and amendment to or affirmation of such plan shall include a report of the institution's active contributions to efforts to stimulate the economic development of the Commonwealth, the area in which the institution is located, and, for those institutions subject to a management agreement set forth in Article 4 (§ 23.1-1004 et seq.) of Chapter 10, the areas that lag behind the Commonwealth in terms of income, employment, and other factors.</t>
  </si>
  <si>
    <t>B. The Secretary of Finance, Secretary of Education, Director of the Department of Planning and Budget, Executive Director of the Council, Staff Director of the House Committee on Appropriations, and Staff Director of the Senate Committee on Finance, or their designees, shall review each institution’s plan or amendments and provide comments to the institution on that plan by September 1 of the relevant year. Each institution shall respond to any such comments by October 1 of that year.</t>
  </si>
  <si>
    <t>C. Each plan shall be structured in accordance with, and be consistent with, the objective and purposes of this chapter set forth in § 23.1-301 and the criteria developed pursuant to § 23.1-309 and shall be in a form and manner prescribed by the Council, in consultation with the Secretary of Finance, the Secretary of Education, the Director of the Department of Planning and Budget, the Director of the Council, the Staff Director of the House Committee on Appropriations, and the Staff Director of the Senate Committee on Finance, or their designees.</t>
  </si>
  <si>
    <t>D. Each six-year plan shall (i) address the institution's academic, financial, and enrollment plans, including the number of Virginia and non-Virginia students, for the six-year period; (ii) indicate the planned use of any projected increase in general fund, tuition, or other nongeneral fund revenues; (iii) be based upon any assumptions provided by the Council, following consultation with the Department of Planning and Budget and the staffs of the House Committee on Appropriations and the Senate Committee on Finance, for funding relating to state general fund support pursuant to §§ 23.1-303, 23.1-304, and 23.1-305 and subdivision 9; (iv) be aligned with the institution's six-year enrollment projections; and (v) include:</t>
  </si>
  <si>
    <t>1. Financial planning reflecting the institution's anticipated level of general fund, tuition, and other nongeneral fund support for each year of the next biennium;</t>
  </si>
  <si>
    <t>2. The institution's anticipated annual tuition and educational and general fee charges required by (i) degree level and (ii) domiciliary status, as provided in § 23.1-307;</t>
  </si>
  <si>
    <t>3. Plans for providing financial aid to help mitigate the impact of tuition and fee increases on low-income and middle-income students and their families as described in subdivision 9, including the projected mix of grants and loans;</t>
  </si>
  <si>
    <t>4. Degree conferral targets for undergraduate Virginia students;</t>
  </si>
  <si>
    <t>5. Plans for optimal year-round use of the institution's facilities and instructional resources;</t>
  </si>
  <si>
    <t>6. Plans for the development of an instructional resource-sharing program with other public institutions of higher education and private institutions of higher education;</t>
  </si>
  <si>
    <t>7. Plans with regard to any other incentives set forth in § 23.1-305 or any other matters the institution deems appropriate;</t>
  </si>
  <si>
    <t>8. The identification of (i) new programs or initiatives including quality improvements and (ii) institution-specific funding based on particular state policies or institution-specific programs, or both, as provided in subsection C of § 23.1-307;and</t>
  </si>
  <si>
    <t>9. An institutional student financial aid commitment that, in conjunction with general funds appropriated for that purpose, provides assistance to students from both low-income and middle-income families and takes into account the information and recommendations resulting from the review of federal and state financial aid programs and institutional practices conducted pursuant to subdivisions B 2 and C 1 of § 23.1-309.</t>
  </si>
  <si>
    <t xml:space="preserve">E. In developing such plans, each public institution of higher education shall consider potential future impacts of tuition increases on the Virginia College Savings Plan and ABLE Savings Trust Accounts (§ 23.1-700 et seq.) and shall discuss such potential impacts with the Virginia College Savings Plan. The chief executive officer of the Virginia College Savings Plan shall provide to each institution the Plan's assumptions underlying the contract pricing of the program. </t>
  </si>
  <si>
    <t>F. 1. In conjunction with the plans included in the six-year plan as set forth in subsection D, each public institution of higher education, Richard Bland College, and the Virginia Community College System may submit one innovative proposal with clearly defined performance measures, including any request for necessary authority or support from the Commonwealth, for a performance pilot. If the General Assembly approves the proposed performance pilot, it shall include approval language in the general appropriation act. A performance pilot shall advance the objectives of this chapter by addressing innovative requests related to college access, affordability, cost predictability, enrollment management subject to specified commitments regarding undergraduate in-state student enrollment, alternative tuition and fee structures and affordable pathways to degree attainment, internships and work study, employment pathways for undergraduate Virginia students, strategic talent development, state or regional economic development, pathways to increase timely degree completion, or other priorities set out in the general appropriation act.</t>
  </si>
  <si>
    <t>2. A performance pilot may include or constitute an institutional partnership performance agreement, which shall be set forth in a memorandum of understanding that includes mutually dependent commitments by the institution, the Commonwealth, and identified partners, if any, related to one or more of the priorities set forth in subdivision 1 or set forth in a general appropriation act. No such institutional partnership performance agreement shall create a legally enforceable obligation of the Commonwealth.</t>
  </si>
  <si>
    <t>3. No more than six performance pilots shall be approved in a single session of the General Assembly.</t>
  </si>
  <si>
    <t>4. Development and approval of any performance pilot proposal shall proceed in tandem with consideration of the institution's six-year plan, as follows:</t>
  </si>
  <si>
    <t>a. An institution that intends to propose a performance pilot shall communicate that intention as early as practicable, but not later than April 1 of the year in which the performance pilot will be proposed, to the reviewers listed in subsection B, the co-chairmen of the Joint Subcommittee on the Future Competitiveness of Virginia Higher Education, and the Governor. In developing a proposed performance pilot, the institution shall consider the Commonwealth's educational and economic policies and priorities, including those reflected in the Virginia Plan for Higher Education issued by the Council, the economic development policy developed pursuant to § 2.2-205, the strategic plan developed pursuant to § 2.2-2237.1, relevant regional economic growth and diversification plans prepared by regional councils pursuant to the Virginia Growth and Opportunity Act (§ 2.2-2484 et seq.), and any additional guidance provided by the Joint Subcommittee on the Future Competiveness of Virginia Higher Education and the Governor.</t>
  </si>
  <si>
    <t>b. An institution that submits a performance pilot shall include the one innovative proposal with clearly defined performance measures, and any corresponding authority and support requested from the Commonwealth, with its submission of the preliminary version of its six-year plan pursuant to clause (ii) of subsection A or with its preliminary amendment or affirmation submission pursuant to clause (iii) of subsection A.</t>
  </si>
  <si>
    <t>c. The reviewers listed in subsection B, or their designees, shall review and comment on any proposed performance pilot in accordance with the six-year plan review and comment process established in subsection B and may expedite such review and comment process to facilitate the executive and legislative budget process or for other reasons. No later than October 15 of the relevant year, the reviewers shall communicate to the Governor and the Chairmen of the House Committee on Appropriations and the Senate Committee on Finance their recommendations regarding each performance pilot proposal. Such recommendations shall include the reviewers' comments regarding how the proposed performance pilots, individually and collectively, support the strategic educational and economic policies of the Commonwealth.</t>
  </si>
  <si>
    <t>d. Each performance pilot proposal shall include evidence of its approval by the institution's governing board and, if accepted, shall be referenced in the general appropriation act.</t>
  </si>
  <si>
    <t>Six-Year Plans (2023): 2024-25 through 2029-30</t>
  </si>
  <si>
    <t>Due: July 15, 2023</t>
  </si>
  <si>
    <t>Institution:</t>
  </si>
  <si>
    <t>Institution UNITID:</t>
  </si>
  <si>
    <t>Individual responsible for plan</t>
  </si>
  <si>
    <t>Name(s) &amp; Title(s):</t>
  </si>
  <si>
    <t>Email address(es):</t>
  </si>
  <si>
    <t>Telephone number(s):</t>
  </si>
  <si>
    <t>Part 1: Undergraduate Tuition and Mandatory Fee Increase Plans in 2024-26 Biennium</t>
  </si>
  <si>
    <r>
      <t>Instructions:</t>
    </r>
    <r>
      <rPr>
        <i/>
        <sz val="12"/>
        <color theme="1"/>
        <rFont val="Arial"/>
        <family val="2"/>
      </rPr>
      <t xml:space="preserve"> Provide annual planned increases in undergraduate tuition and mandatory E&amp;G fees and mandatory non-E&amp;G fees for both in-state and out-of-state students in 2024-26 biennium. The tuition and fee charges for in-state undergraduate students should reflect the institution's estimate of reasonable and necessary charges to students based on the mission, market capacity and other factors with the assumption of no new state general fund support.</t>
    </r>
  </si>
  <si>
    <t>Undergraduate Tuition and Mandatory Fees</t>
  </si>
  <si>
    <t>2023-24</t>
  </si>
  <si>
    <t>2024-25</t>
  </si>
  <si>
    <t>2025-26</t>
  </si>
  <si>
    <t>Charge (BOV approved)</t>
  </si>
  <si>
    <t>Planned Charge</t>
  </si>
  <si>
    <t>% Increase</t>
  </si>
  <si>
    <t>In-State UG Tuition</t>
  </si>
  <si>
    <t>In-State UG Mandatory E&amp;G Fees</t>
  </si>
  <si>
    <t>In-State UG Mandatory non-E&amp;G Fees</t>
  </si>
  <si>
    <t>In-State UG Total</t>
  </si>
  <si>
    <t>Out-of-State UG Tuition</t>
  </si>
  <si>
    <t>Out-of-State UG Mandatory E&amp;G Fees</t>
  </si>
  <si>
    <t>Out-of-State UG Mandatory non-E&amp;G Fees</t>
  </si>
  <si>
    <t>Out-of-State UG Total</t>
  </si>
  <si>
    <t>Part 2: Revenue: 2022-23 through 2029-30</t>
  </si>
  <si>
    <r>
      <t xml:space="preserve">Instructions: Based on assumptions of no new general fund, enrollment changes and other institution-specific conditions, </t>
    </r>
    <r>
      <rPr>
        <sz val="12"/>
        <color rgb="FFFF0000"/>
        <rFont val="Arial"/>
        <family val="2"/>
      </rPr>
      <t xml:space="preserve">provide total collected or projected to collect revenues (after discounts and waivers) </t>
    </r>
    <r>
      <rPr>
        <sz val="12"/>
        <color theme="1"/>
        <rFont val="Arial"/>
        <family val="2"/>
      </rPr>
      <t>by student level and domicile (including tuition revenue used for financial aid), and other NGF revenue for educational and general (E&amp;G) programs; and mandatory non-E&amp;G fee revenues from in-state undergraduates and other students as well as the total auxiliary revenue. DO NOT INCLUDE STIMULUS FUNDS.
In line 25, enter E&amp;G GF revenues for the current bienium. The formulas will automatically hold that constant for the remaining years.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</si>
  <si>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Instructions: Provide a pro forma analysis of total tuition revenue in years 2026-2030 by holding T&amp;F constant at the planned 2025-26 rate while incorporating your institution's submitted enrollment projections for each year through 2030. These columns are NOT meant to be a projection and do NOT make any assumption about GF support. The calculations will be used to support the pro forma analysis in tab 5.</t>
  </si>
  <si>
    <t xml:space="preserve">Items </t>
  </si>
  <si>
    <t>2022-2023 (Actual)</t>
  </si>
  <si>
    <t>2023-2024 (Estimated)</t>
  </si>
  <si>
    <t>2024-2025 (Planned)</t>
  </si>
  <si>
    <t>2025-2026 (Planned)</t>
  </si>
  <si>
    <t>2026-2027 (Pro Forma)</t>
  </si>
  <si>
    <t>2027-2028 (Pro Forma)</t>
  </si>
  <si>
    <t>2028-2029 (Pro Forma)</t>
  </si>
  <si>
    <t>2029-2030 (Pro Forma)</t>
  </si>
  <si>
    <t>Total Collected Tuition Revenue</t>
  </si>
  <si>
    <t>Chg</t>
  </si>
  <si>
    <t>Total Projected Tuition Revenue</t>
  </si>
  <si>
    <t>Total Calculated Tuition Revenue</t>
  </si>
  <si>
    <t>2022-2030 Chg</t>
  </si>
  <si>
    <t>CAGR</t>
  </si>
  <si>
    <t>E&amp;G Programs</t>
  </si>
  <si>
    <t>Undergraduate, In-State</t>
  </si>
  <si>
    <t>Undergraduate, Out-of-State</t>
  </si>
  <si>
    <t>Graduate, In-State</t>
  </si>
  <si>
    <t>Graduate, Out-of-State</t>
  </si>
  <si>
    <t>Law, In-State</t>
  </si>
  <si>
    <t>Law, Out-of-State</t>
  </si>
  <si>
    <t>Medicine, In-State</t>
  </si>
  <si>
    <t>Medicine, Out-of-State</t>
  </si>
  <si>
    <t>Dentistry, In-State</t>
  </si>
  <si>
    <t>Dentistry, Out-of-State</t>
  </si>
  <si>
    <t>PharmD, In-State</t>
  </si>
  <si>
    <t>PharmD, Out-of-State</t>
  </si>
  <si>
    <t>Veterinary Medicine, In-State</t>
  </si>
  <si>
    <t>Veterinary Medicine, Out-of-State</t>
  </si>
  <si>
    <t>First Professional, In-State (Total)</t>
  </si>
  <si>
    <t>First Professional, Out-of-State (Total)</t>
  </si>
  <si>
    <t>Other NGF</t>
  </si>
  <si>
    <t xml:space="preserve">Total E&amp;G NGF Revenue </t>
  </si>
  <si>
    <t>E&amp;G GF Revenue (assume flat after 2024)</t>
  </si>
  <si>
    <t xml:space="preserve">Total E&amp;G Revenue </t>
  </si>
  <si>
    <t>Auxiliary Revenue</t>
  </si>
  <si>
    <t>Total Revenue</t>
  </si>
  <si>
    <t xml:space="preserve">  In-State undergraduates</t>
  </si>
  <si>
    <t xml:space="preserve">  All Other students</t>
  </si>
  <si>
    <t xml:space="preserve">  Total non-E&amp;G fee revenue</t>
  </si>
  <si>
    <t>Total Auxiliary Revenue</t>
  </si>
  <si>
    <t>Part 3: Financial Aid Plan: 2022-23 through 2029-30</t>
  </si>
  <si>
    <r>
      <rPr>
        <b/>
        <i/>
        <sz val="11"/>
        <color theme="1"/>
        <rFont val="Arial"/>
        <family val="2"/>
      </rPr>
      <t>Instructions:</t>
    </r>
    <r>
      <rPr>
        <i/>
        <sz val="11"/>
        <color theme="1"/>
        <rFont val="Arial"/>
        <family val="2"/>
      </rPr>
      <t xml:space="preserve"> Provide a breakdown of the projected source and distribution of tuition and fee revenue redirected to financial aid for the revenue numbers in Tab 2. To ensure compliance with the state prohibition that in-state students not subsidize out-of-state students and to provide the review group with a scope of the strategy, projections must be made for each of the indicated categories. Please be aware that this data will be compared with similar data provided by other institutional offices in order to ensure overall consistency. (Please do not alter shaded cells that contain formulas.)</t>
    </r>
  </si>
  <si>
    <r>
      <t>"</t>
    </r>
    <r>
      <rPr>
        <i/>
        <sz val="11"/>
        <color rgb="FFFF0000"/>
        <rFont val="Arial"/>
        <family val="2"/>
      </rPr>
      <t>Other Discounts and Waiver</t>
    </r>
    <r>
      <rPr>
        <i/>
        <sz val="11"/>
        <color theme="1"/>
        <rFont val="Arial"/>
        <family val="2"/>
      </rPr>
      <t>" means the totals of any unfunded full or partial tuition waiver reducing the students' charges, including Virginia Military Survivors and Dependent Education Program and the Senior Citizens Tuition Waiver. Do not include the tuition differential for the tuition exceptions.</t>
    </r>
  </si>
  <si>
    <r>
      <t xml:space="preserve">Note:  If you do not have actual amounts for </t>
    </r>
    <r>
      <rPr>
        <b/>
        <i/>
        <sz val="12"/>
        <color theme="1"/>
        <rFont val="Arial"/>
        <family val="2"/>
      </rPr>
      <t>Tuition Revenue for Financial Aid</t>
    </r>
    <r>
      <rPr>
        <b/>
        <sz val="12"/>
        <color theme="1"/>
        <rFont val="Arial"/>
        <family val="2"/>
      </rPr>
      <t xml:space="preserve"> by student category, please provide an estimate.  If values are not distributed for </t>
    </r>
    <r>
      <rPr>
        <b/>
        <i/>
        <sz val="12"/>
        <color theme="1"/>
        <rFont val="Arial"/>
        <family val="2"/>
      </rPr>
      <t>Tuition Revenue for Financial Aid</t>
    </r>
    <r>
      <rPr>
        <b/>
        <sz val="12"/>
        <color theme="1"/>
        <rFont val="Arial"/>
        <family val="2"/>
      </rPr>
      <t xml:space="preserve">, a distribution may be calculated for your institution.  </t>
    </r>
  </si>
  <si>
    <t>Allocation of Tuition Revenue Used for Student Financial Aid</t>
  </si>
  <si>
    <r>
      <rPr>
        <b/>
        <sz val="14"/>
        <color rgb="FFFF0000"/>
        <rFont val="Arial"/>
        <family val="2"/>
      </rPr>
      <t>*</t>
    </r>
    <r>
      <rPr>
        <b/>
        <sz val="12"/>
        <color theme="1"/>
        <rFont val="Arial"/>
        <family val="2"/>
      </rPr>
      <t>2022-23 (Actual)  Please see footnote below</t>
    </r>
  </si>
  <si>
    <t>T&amp;F Used for Financial Aid</t>
  </si>
  <si>
    <t>Total Tuition Revenue</t>
  </si>
  <si>
    <t>Tuition Revenue for Financial Aid     (Program 108)</t>
  </si>
  <si>
    <t>% Revenue for Financial Aid</t>
  </si>
  <si>
    <t>Distribution of Financial Aid</t>
  </si>
  <si>
    <t>Unfunded Scholarships</t>
  </si>
  <si>
    <t>Other Tuition Discounts and Waivers</t>
  </si>
  <si>
    <t>Gross Tuition Revenue (Cols. B+F+G)</t>
  </si>
  <si>
    <t>Implied Discount Rate</t>
  </si>
  <si>
    <t>Compliance</t>
  </si>
  <si>
    <t>with § 4-5.1.a.i</t>
  </si>
  <si>
    <t>First Professional, In-State</t>
  </si>
  <si>
    <t>First Professional, Out-of-State</t>
  </si>
  <si>
    <t>Total</t>
  </si>
  <si>
    <t>2023-24 (Estimated)</t>
  </si>
  <si>
    <t>2024-25 (Planned)</t>
  </si>
  <si>
    <t>2025-26 (Planned)</t>
  </si>
  <si>
    <t>2026-27 (Pro Forma)</t>
  </si>
  <si>
    <t>2027-28 (Pro Forma)</t>
  </si>
  <si>
    <t>2028-29 (Pro Forma)</t>
  </si>
  <si>
    <t>2029-30 (Pro Forma)</t>
  </si>
  <si>
    <t>* Please note that the totals reported here will be compared with those reported by the financial aid office on the institution's annual S1/S2 report.  Since the six-year plan is estimated and the S1/S2 is “actual,” the numbers do not have to match perfectly but these totals should reconcile to within a reasonable tolerance level.  Please be sure that all institutional offices reporting tuition/fee revenue used for aid have the same understanding of what is to be reported for this category of aid.</t>
  </si>
  <si>
    <t>Part 4: ACADEMIC-FINANCIAL PLAN: 2024-25 through 2029-30</t>
  </si>
  <si>
    <r>
      <rPr>
        <sz val="12"/>
        <color rgb="FF000000"/>
        <rFont val="Arial"/>
        <family val="2"/>
      </rPr>
      <t xml:space="preserve">Instructions: The Academic Plan should contain academic, finance, and support service strategies the institution intends to employ in meeting state needs/goals as found in the Virginia Plan. (Please see the main instructions sheet in this workbook for more detailed information about The Virginia Plan. Please provide short titles to identify institutional strategies and other expenditure increases. Provide a concise description in the "Notes" column (column O), including a % increase where relevant and a specific reference as to where more detailed information can be found in the Narrative document.
Complete the lines appropriate to your institution, adding lines within the relevant categories as needed. As completely as possible, the items should represent a complete picture of your anticipated use of projected tuition revenues and strategic focus areas. Categories are listed in bold; you may not change the categories but you may add lines where indicated. Please update total cost formulas if necessary. For every line, the total amount and the sum of the reallocation and tuition revenue (and GF when indicated) should equal one another. 
Funding amounts in the first year should be incremental. However, if the costs continue into the second year and beyond, they should be reflected cumulatively (i.e. cost increases vs. 2023-24). Please update total cost formulas if necessary. Institutions should assume no general fund (GF) support in 2024-26 in this worksheet other than for salaries, health insurance and VITA charges per the instructions below. A separate worksheet (Part 6) is provided for institutions to request additional GF support for 2024-26. Strategies for student financial aid, other than those that are provided through tuition revenue, should not be included on this table; they should be included in Part 6, General Fund Request, of the plan.
Also, given the long standing practice that agencies should not assume general fund support for operation and maintenance (O&amp;M) of new facilities, O&amp;M strategies should not be included in an institution's plan, unless they are completely supported by tuition revenue.
</t>
    </r>
    <r>
      <rPr>
        <b/>
        <sz val="12"/>
        <color rgb="FF000000"/>
        <rFont val="Arial"/>
        <family val="2"/>
      </rPr>
      <t xml:space="preserve">                                                                  
</t>
    </r>
    <r>
      <rPr>
        <sz val="12"/>
        <color rgb="FF000000"/>
        <rFont val="Arial"/>
        <family val="2"/>
      </rPr>
      <t xml:space="preserve">Lines 5 and 6 are newly added to collect the estimated E&amp;G expenditures of 2022-23 and 2023-24 as baselines for Tab 5 Pro Forma.     
For the 2026-28 bienium and 2028-2030 bienium, total amounts should be provided as estimates of future expenditures on these items but delineation of reallocation vs. tuition revenue vs. GF does not need to be provided by the institution.
</t>
    </r>
    <r>
      <rPr>
        <sz val="12"/>
        <color rgb="FFFF0000"/>
        <rFont val="Arial"/>
        <family val="2"/>
      </rPr>
      <t xml:space="preserve">Funding amounts shall assume an annual 2% salary increase for each year from FY2025 to FY2030 for those employees eligible for the state-supported salary increases in the 2022-2024 biennium. Funding amounts shall also assume an annual 3% health insurance increase and a 5.36% VITA cost increase. Institutions shall calculate the GF portion of these increases in columns H and L using the appropriate fund share, which can be found in Tab 4b. If an institution plans to use its own funds to provide additional salary increases, add lines below the "increased fringe benefits costs" and specify salary amount by employee type and associated fringe benefit costs, but do not put any dollar amount in Columns H and L.
</t>
    </r>
    <r>
      <rPr>
        <sz val="12"/>
        <color rgb="FF000000"/>
        <rFont val="Arial"/>
        <family val="2"/>
      </rPr>
      <t xml:space="preserve">
NOTE: In light of ongoing budget negotiations, please complete the template assuming only what has already been signed into law as the baseline 2022-23 and 2023-24 appropriation. In the event that a new budget results in additional funding for institutions in 2023-24, OpSix will provide guidance at that time on whether and how to modify or resubmit plans.</t>
    </r>
  </si>
  <si>
    <t>Please estimate total E&amp;G expenditures for 2022-23 and 2023-24</t>
  </si>
  <si>
    <t>2024-2025
(Auto-calculated)</t>
  </si>
  <si>
    <t>2025-2026
(Auto-calculated)</t>
  </si>
  <si>
    <t>Total Estimated 2022-23 E&amp;G Expenditures</t>
  </si>
  <si>
    <t>Implied GF share</t>
  </si>
  <si>
    <t>Total Estimated 2023-24 E&amp;G Expenditures</t>
  </si>
  <si>
    <t>Incremental amounts relative to 2023-24 estimated baseline</t>
  </si>
  <si>
    <t>2024-2025</t>
  </si>
  <si>
    <t>2025-2026</t>
  </si>
  <si>
    <t>2026-2027</t>
  </si>
  <si>
    <t>2027-2028</t>
  </si>
  <si>
    <t>2028-2029</t>
  </si>
  <si>
    <t>2029-2030</t>
  </si>
  <si>
    <r>
      <t>Explanation</t>
    </r>
    <r>
      <rPr>
        <sz val="12"/>
        <color rgb="FF000000"/>
        <rFont val="Arial"/>
        <family val="2"/>
      </rPr>
      <t xml:space="preserve">
</t>
    </r>
    <r>
      <rPr>
        <b/>
        <sz val="12"/>
        <color rgb="FF000000"/>
        <rFont val="Arial"/>
        <family val="2"/>
      </rPr>
      <t>Please be brief; reference specific narrative question for more detail.
Explicitly share key assumptions, including any additional salary increases beyond the 2% increase baseline.</t>
    </r>
  </si>
  <si>
    <t>Short Title</t>
  </si>
  <si>
    <t>Total Amount</t>
  </si>
  <si>
    <t>Reallocation</t>
  </si>
  <si>
    <t>Amount from Tuition Revenue</t>
  </si>
  <si>
    <t>Amount from GF (Salaries &amp; benefits only)</t>
  </si>
  <si>
    <t>Total Amount (Pro Forma)</t>
  </si>
  <si>
    <t>Salary &amp; benefit increases for existing employees</t>
  </si>
  <si>
    <t>Increase T&amp;R Faculty Salaries</t>
  </si>
  <si>
    <t>Increase Admin. Faculty Salaries</t>
  </si>
  <si>
    <t>Increase Classified Staff Salaries</t>
  </si>
  <si>
    <t>Increase University Staff Salaries</t>
  </si>
  <si>
    <t>Increase GTA Salaries</t>
  </si>
  <si>
    <t>Increase Adjunct Faculty Salaries</t>
  </si>
  <si>
    <t>3% annual state health insurance cost</t>
  </si>
  <si>
    <t>[Add lines &amp; descriptions here]</t>
  </si>
  <si>
    <t>Inflationary non-personnel cost increases</t>
  </si>
  <si>
    <t>5.36% annual VITA charge increase</t>
  </si>
  <si>
    <t>Contractual services</t>
  </si>
  <si>
    <t>Utilities</t>
  </si>
  <si>
    <t>Financial aid expansion</t>
  </si>
  <si>
    <t>Addt'l In-State Student Financial Aid from Tuition Rev</t>
  </si>
  <si>
    <t>Addt'l Out-of-State Student Financial Aid from Tuition Rev</t>
  </si>
  <si>
    <t>New/expanded academic programs</t>
  </si>
  <si>
    <t>Other academic &amp; student support strategies &amp; initiatives</t>
  </si>
  <si>
    <t>Other non-academic strategies &amp; initiatives</t>
  </si>
  <si>
    <t>Total Additional Funding Need</t>
  </si>
  <si>
    <t>Must not be greater than incremental Tuit Rev in Part 2</t>
  </si>
  <si>
    <t>If result is &lt; $0, please provide explanation in these fields.</t>
  </si>
  <si>
    <t>Part 4b General Fund Share in FY2022</t>
  </si>
  <si>
    <t>GF Share</t>
  </si>
  <si>
    <t>Institution</t>
  </si>
  <si>
    <t>FY2022</t>
  </si>
  <si>
    <t>Christopher Newport University</t>
  </si>
  <si>
    <t>George Mason University</t>
  </si>
  <si>
    <t>James Madison University</t>
  </si>
  <si>
    <t>Longwood University</t>
  </si>
  <si>
    <t>Norfolk State University</t>
  </si>
  <si>
    <t>Old Dominion University</t>
  </si>
  <si>
    <t>Radford University</t>
  </si>
  <si>
    <t>University of Mary Washington</t>
  </si>
  <si>
    <t>University of Virginia</t>
  </si>
  <si>
    <t>University of Virginia at Wise</t>
  </si>
  <si>
    <t>Virginia Commonwealth University</t>
  </si>
  <si>
    <t>Virginia Military Institute</t>
  </si>
  <si>
    <t>Virginia State University</t>
  </si>
  <si>
    <t>Virginia Tech</t>
  </si>
  <si>
    <t>William &amp; Mary</t>
  </si>
  <si>
    <t>Richard Bland College</t>
  </si>
  <si>
    <t>Virginia Community College Sys</t>
  </si>
  <si>
    <t>Total, All Institutions</t>
  </si>
  <si>
    <t>Source: SCHEV 2022 Base Adequacy Calculation.</t>
  </si>
  <si>
    <t>Part 5: Six-year Pro Forma Calculations: 2022-23 through 2029-30</t>
  </si>
  <si>
    <r>
      <t xml:space="preserve">Instructions: No new data needs to be added on this tab; it is entirely comprised by formulas. The top section pulls in data from the previous tabs to calculate a pro forma budget surplus/deficit for the 6 years. The following section calculates what </t>
    </r>
    <r>
      <rPr>
        <sz val="12"/>
        <color theme="1"/>
        <rFont val="Arial"/>
        <family val="2"/>
      </rPr>
      <t>T&amp;F (price) and GF increases would theoretically need to occur each year in order to cover the deficit and maintain the 2022-23 GF/NGF split</t>
    </r>
    <r>
      <rPr>
        <i/>
        <sz val="12"/>
        <color theme="1"/>
        <rFont val="Arial"/>
        <family val="2"/>
      </rPr>
      <t xml:space="preserve">. At the bottom is a blended scenario calculator that a user can leverage to calculate </t>
    </r>
    <r>
      <rPr>
        <sz val="12"/>
        <color theme="1"/>
        <rFont val="Arial"/>
        <family val="2"/>
      </rPr>
      <t>custom</t>
    </r>
    <r>
      <rPr>
        <i/>
        <sz val="12"/>
        <color theme="1"/>
        <rFont val="Arial"/>
        <family val="2"/>
      </rPr>
      <t xml:space="preserve"> "shared" scenarios where deficits can be covered by a combination of expenditure reduction, T&amp;F increases, and GF increases. Cells D28:30 should be set by the user (so long as they add up to 100%) and the results will flow into the rows below that automatically. </t>
    </r>
    <r>
      <rPr>
        <sz val="12"/>
        <color theme="1"/>
        <rFont val="Arial"/>
        <family val="2"/>
      </rPr>
      <t>This analysis is intended to be directional and pro forma; it is not intended to be interpreted as a projection or plan/budget of any kind.
Note: this pro forma does not include any of the additional GF requests in the following tab; those requests would require GF funding on top of what is calculated in this tab.</t>
    </r>
    <r>
      <rPr>
        <i/>
        <sz val="12"/>
        <color theme="1"/>
        <rFont val="Arial"/>
        <family val="2"/>
      </rPr>
      <t xml:space="preserve"> </t>
    </r>
    <r>
      <rPr>
        <sz val="12"/>
        <color theme="1"/>
        <rFont val="Arial"/>
        <family val="2"/>
      </rPr>
      <t>It does account for the salary/health insurance/VITA increases from tab 4, including the corresponding GF increases.</t>
    </r>
  </si>
  <si>
    <t>From FY23-FY30</t>
  </si>
  <si>
    <t>Baseline Pro Forma Surplus/Deficit</t>
  </si>
  <si>
    <t>Total Chg</t>
  </si>
  <si>
    <t>Avg Annual Chg</t>
  </si>
  <si>
    <t>Total E&amp;G GF Revenue (includes tab 4, not tab 6)</t>
  </si>
  <si>
    <t>Tuition discount rate</t>
  </si>
  <si>
    <t>Total E&amp;G NGF Revenue</t>
  </si>
  <si>
    <t>Incremental E&amp;G NGF Revenue vs. prior yr</t>
  </si>
  <si>
    <t>Total E&amp;G Revenue</t>
  </si>
  <si>
    <t>Implied GF % of E&amp;G</t>
  </si>
  <si>
    <t>Total E&amp;G Expenditures</t>
  </si>
  <si>
    <t>Incremental E&amp;G Expenditures vs. 2023-24</t>
  </si>
  <si>
    <t>Reallocation of existing dollars (flat after 2025-26)</t>
  </si>
  <si>
    <t>Pro Forma Surplus/Deficit</t>
  </si>
  <si>
    <t>Incremental Surplus/Deficit</t>
  </si>
  <si>
    <t>What would a constant GF/NGF ratio at 2022-23 levels imply for T&amp;F and GF increases?</t>
  </si>
  <si>
    <t>GF % of E&amp;G</t>
  </si>
  <si>
    <t xml:space="preserve">Implied incremental T&amp;F increase (%) </t>
  </si>
  <si>
    <t>Implied incremental GF Increase (%)</t>
  </si>
  <si>
    <t>Blended Scenario Calculator  - Share of Deficit Covered by Each Source (Must add up to 100%)</t>
  </si>
  <si>
    <t>Expenditure reductions</t>
  </si>
  <si>
    <t>&lt;&lt; Input percentages here</t>
  </si>
  <si>
    <t>T&amp;F increases</t>
  </si>
  <si>
    <t>GF increases</t>
  </si>
  <si>
    <t>TOTAL</t>
  </si>
  <si>
    <t>Implied E&amp;G Expenditure Reduction (%)</t>
  </si>
  <si>
    <t>Implied incremental T&amp;F increase (%)</t>
  </si>
  <si>
    <t>Part 6: General Fund (GF) Request: 2024-2026 Biennium</t>
  </si>
  <si>
    <t>Priority Ranking</t>
  </si>
  <si>
    <t>Initiatives Requiring General Fund Support</t>
  </si>
  <si>
    <t>Notes/Explanation
Please be brief; reference specific narrative question for more detail.</t>
  </si>
  <si>
    <t>Biennium 2024-2026 (7/1/24-6/30/26)</t>
  </si>
  <si>
    <t>Strategies (Match Academic-Financial Worksheet Short Title)</t>
  </si>
  <si>
    <t>Category
(Select best option from dropdown menu)</t>
  </si>
  <si>
    <t>GF Support</t>
  </si>
  <si>
    <t>GF Request Categories</t>
  </si>
  <si>
    <t>Career Readiness &amp; Placement</t>
  </si>
  <si>
    <t>Community Engagement</t>
  </si>
  <si>
    <t>Cost efficiency</t>
  </si>
  <si>
    <t>Curriculum</t>
  </si>
  <si>
    <t>Degree Pathways</t>
  </si>
  <si>
    <t>Economic Development</t>
  </si>
  <si>
    <t>Education Innovation / Online Learning</t>
  </si>
  <si>
    <t>Enrollment management</t>
  </si>
  <si>
    <t>Financial Aid</t>
  </si>
  <si>
    <t>General Operations Support</t>
  </si>
  <si>
    <t>Partnerships</t>
  </si>
  <si>
    <t>Research</t>
  </si>
  <si>
    <t>Student Success</t>
  </si>
  <si>
    <t>Technology Infrastructure</t>
  </si>
  <si>
    <t>OTHER (Please specify in description)</t>
  </si>
  <si>
    <t>Foregone Tuition Revenue As A Result of Tuition Waivers (See references at bottom of tables for waiver programs)</t>
  </si>
  <si>
    <t>Educational and General Programs</t>
  </si>
  <si>
    <t>The values entered for 2011-12 must match those submitted on the SCHEV S1/S2.</t>
  </si>
  <si>
    <t>2011-12 (Actual from S1/S2)</t>
  </si>
  <si>
    <t>Program</t>
  </si>
  <si>
    <t>In-State</t>
  </si>
  <si>
    <t>Out-of-State</t>
  </si>
  <si>
    <t>Undergraduate</t>
  </si>
  <si>
    <t>Graduate</t>
  </si>
  <si>
    <t>Foreign exchange student waivers</t>
  </si>
  <si>
    <t xml:space="preserve">Virginia's military dependent waivers </t>
  </si>
  <si>
    <t xml:space="preserve">Virginia's military member waivers </t>
  </si>
  <si>
    <t>Virginia's military veteran waivers</t>
  </si>
  <si>
    <t xml:space="preserve">Federal military member and dependent waivers </t>
  </si>
  <si>
    <t>Virginia provision for other state's National Guard duty</t>
  </si>
  <si>
    <t>Special arrangement contracts</t>
  </si>
  <si>
    <t>Academic Common Market</t>
  </si>
  <si>
    <t>Geographic waivers</t>
  </si>
  <si>
    <t>Other waivers associated with in-/out-of-state differential</t>
  </si>
  <si>
    <t>Senior Citizen's Tuition and Fee Waivers</t>
  </si>
  <si>
    <t>Certain Public Safety Personnel Child/Spouse Waivers</t>
  </si>
  <si>
    <t>Virginia Military Survivors &amp; Dependents Education Program</t>
  </si>
  <si>
    <t>Employee Waivers</t>
  </si>
  <si>
    <t>Other waivers of tuition/fees student would normally be charged</t>
  </si>
  <si>
    <t>2012-13 (Estimated)</t>
  </si>
  <si>
    <t>2013-14 (Planned)</t>
  </si>
  <si>
    <t>2014-15 (Planned)</t>
  </si>
  <si>
    <t>2015-16 (Planned)</t>
  </si>
  <si>
    <t>FA File Field</t>
  </si>
  <si>
    <t>Authorization</t>
  </si>
  <si>
    <t>TUIWAIV, IN-1</t>
  </si>
  <si>
    <t>Code of Virginia § 23-31</t>
  </si>
  <si>
    <t xml:space="preserve">TUITION=H </t>
  </si>
  <si>
    <t>Code of Virginia § 23-7.4:2 C 2</t>
  </si>
  <si>
    <t>TUITION=B</t>
  </si>
  <si>
    <t xml:space="preserve">Code of Virginia § 23-7.4 E </t>
  </si>
  <si>
    <t>TUITION=M</t>
  </si>
  <si>
    <t>Code of Virginia § 23-7.4:2 G</t>
  </si>
  <si>
    <t>TUITION=U</t>
  </si>
  <si>
    <t>Code of Virginia § 23-7.4:2 H</t>
  </si>
  <si>
    <t>TUITION=R</t>
  </si>
  <si>
    <t>Federal Higher Education Opportunity Act (Sec. 114)</t>
  </si>
  <si>
    <t>TUITION=T</t>
  </si>
  <si>
    <t>Code of Virginia § 23-7.4:2 B</t>
  </si>
  <si>
    <t>TUITION=I</t>
  </si>
  <si>
    <t>Code of Virginia § 23-7.4:2 F</t>
  </si>
  <si>
    <t>TUITION=C</t>
  </si>
  <si>
    <t>Code of Virginia § 23-7.4:2 C 1</t>
  </si>
  <si>
    <t xml:space="preserve">Geographic waivers </t>
  </si>
  <si>
    <t>Virginia Community College System</t>
  </si>
  <si>
    <t>TUITION=D</t>
  </si>
  <si>
    <t>Code of Virginia § 23-7.4:2 D</t>
  </si>
  <si>
    <t xml:space="preserve">University of Virginia's College at Wise </t>
  </si>
  <si>
    <t>TUITION=E</t>
  </si>
  <si>
    <t>Code of Virginia § 23-7.4:2 E</t>
  </si>
  <si>
    <t>Old Dominion University's TELETECHNET sites/higher education centers; Radford’s Virginia Educators program</t>
  </si>
  <si>
    <t>TUITION=P</t>
  </si>
  <si>
    <t>Appropriation Act (ODU)</t>
  </si>
  <si>
    <t>VCCS dual enrollment agreement</t>
  </si>
  <si>
    <t>TUITION=F</t>
  </si>
  <si>
    <t>Code of Virginia § 23-7.4:2 C 3</t>
  </si>
  <si>
    <t>Nonresident employed full time in Virginia provision</t>
  </si>
  <si>
    <t>TUITION=G</t>
  </si>
  <si>
    <t xml:space="preserve">Code of Virginia § 23-7.4:2 A </t>
  </si>
  <si>
    <t>One-year grace period for dependent whose parent or spouse abandons Virginia domicile</t>
  </si>
  <si>
    <t>TUITION=L</t>
  </si>
  <si>
    <t xml:space="preserve">Code of Virginia § 23-7.4 B </t>
  </si>
  <si>
    <t>Graduate student employed at a contract rate of $4K+</t>
  </si>
  <si>
    <t>TUITION=Q</t>
  </si>
  <si>
    <t>Appropriation Act § 4-2.01 b 6</t>
  </si>
  <si>
    <t>Code of Virginia § 23-38.54 et seq.</t>
  </si>
  <si>
    <t>Code of Virginia § 23-7.4:1 B</t>
  </si>
  <si>
    <t>MSDTFW, IN-7</t>
  </si>
  <si>
    <t>Code of Virginia § 23-7.4:1 A</t>
  </si>
  <si>
    <t>Appropriation Act § 4-2.01 b 9</t>
  </si>
  <si>
    <t>Rank</t>
  </si>
  <si>
    <t>Yes/No</t>
  </si>
  <si>
    <t>Yes</t>
  </si>
  <si>
    <t>No</t>
  </si>
  <si>
    <t>211</t>
  </si>
  <si>
    <t>Dallas B. Clark, Deputy Superintendent</t>
  </si>
  <si>
    <t>clarkdb@vmi.edu</t>
  </si>
  <si>
    <t>540-464-7321</t>
  </si>
  <si>
    <t>Increase Part-Time Wages</t>
  </si>
  <si>
    <t>Increased Indirect Costs Recoveries</t>
  </si>
  <si>
    <t>For FY 2022-2023, VMI experineced a significant decline in new cadet (freshmen) enrollment.  VMI typically budgets for and enrolls about 500 new cadets each year; however, the fall 2022 new cadet enrollment was 375.  This resulted in a significant reductions in tuition revenue.  For fall 2023 the Inssitue expects to enrollat least 475 new cadets and based on current admissions deposits could reach or exceed the normal level of 500 new cadets. Operationally, VMI is addressing the lost tuition revenue in several ways to include aggressively managing vacancy savings, limiting new initiatives, and use of reserves if necessary.</t>
  </si>
  <si>
    <t>Increased Contingencies</t>
  </si>
  <si>
    <t xml:space="preserve">Core Course in “American Constitutional History” </t>
  </si>
  <si>
    <t>Accreditation for the Computer Science Program</t>
  </si>
  <si>
    <t>Summer Undergraduate Entrepreneurship Program</t>
  </si>
  <si>
    <t>Global Education Staff</t>
  </si>
  <si>
    <t xml:space="preserve">Employer relations/internship coordinator </t>
  </si>
  <si>
    <t>Strategic Enrollment Management Leadership</t>
  </si>
  <si>
    <t>Associate Dean for Academic Support</t>
  </si>
  <si>
    <t>Academic Support Coordinators</t>
  </si>
  <si>
    <t xml:space="preserve">Cybersecurity Education  </t>
  </si>
  <si>
    <t>Leadership Development Program</t>
  </si>
  <si>
    <t>Military Commissioning/Service</t>
  </si>
  <si>
    <t>Technology Enhanced Instruction</t>
  </si>
  <si>
    <t>Emphasizing STEM Majors</t>
  </si>
  <si>
    <t>Director of Innovation Programming</t>
  </si>
  <si>
    <t>Commonwealth Cyber Fusion and Collegiate Cyber Cup Competition</t>
  </si>
  <si>
    <t xml:space="preserve">Year-Round Facility Use </t>
  </si>
  <si>
    <t>Shared Resources</t>
  </si>
  <si>
    <t>Add a full-time support staff position in the Office of Global Education to expand the opportunities for global education provided to cadets.  Assumes $45K annual salary and approx. 40% cost of benefits; 2% annual cost increase.</t>
  </si>
  <si>
    <t>Add a full-time, Employer relations/internship coordinator position in the Office of Career Services.  Assumes $45K annual salary and approx. 40% cost of benefits; 2% annual cost increase.</t>
  </si>
  <si>
    <t>Continued to offer an expansive program in cybersecurity education supporting the needs of the Dept. of Defense (DoD) and industries within the Commonwealth through funding support from DoD and the Commonwealth Cyber Initiative (CCI).</t>
  </si>
  <si>
    <t>The VMI Center for Leadership and Ethics (CLE) will continue to deliver an extensive leadership development program for cadets and faculty and staff using a combination of local funds and E&amp;G funds.</t>
  </si>
  <si>
    <t>Continue existing strategies for producing graduates who serve the nation through commissioned, military service and increasing service through employment in government agencies/non-profit organizations.</t>
  </si>
  <si>
    <t>VMI will continue to enhance STEM instructional and research laboratories using a combination of State Equipment Trust Funding (ETF), local funds, and E&amp;G funds.  Increased ETF allocations would reduce the financial burden on E&amp;G funds on meeting the Institute's teaching and research equipment needs.</t>
  </si>
  <si>
    <t>Maintain the principles of the Core Curriculum. Curricula supporting a baseline STEM education, and continue enrollment practices and academic support programs in order to support 50% enrollment in STEM majors.</t>
  </si>
  <si>
    <t xml:space="preserve">Privately funded, part-time position responsible for managing and developing academic, industry, and government partnerships, and for coordinating approaches across the Institute for partner engagement.  Grant funded through 2028; may require GF support to continue the position beyond the grant. </t>
  </si>
  <si>
    <t>This event is designed to help build Virginia’s cyber security workforce through collaboration with the participating institutions. In addition, it helps advance the economic prosperity of the Commonwealth and optimize student success for work and life. VMI anticipates hosting this event annually.</t>
  </si>
  <si>
    <t>The unique nature of cadet life with its demanding schedule combined with academic and extracurricular program demands ensures high use of VMI facilities.  VMI intends to continue all programs that contribute to extensive year-round use of VMI facilities into the foreseeable future.</t>
  </si>
  <si>
    <t>VMI is involved in several resource-sharing programs with other colleges and universities in the region.  We will continue to develop and maintain existing cooperative relationships, and seek new opportunities.</t>
  </si>
  <si>
    <t>Adding an Associate Dean Academic Support whose responsibilities are solely focused on academic support and cadet success through a 4-year SCHEV Pell eligible student initiative.  Continuation of this position beyond the 4-year grant period would be contingent upon GF support.</t>
  </si>
  <si>
    <t>Adding a position to lead the newly formed Strategic Enrollment Management office and enrollment management‘s  efforts across the Institute through a 4-year SCHEV Pell eligible student initiative.  Continuation of this position beyond the 4-year grant period would be contingent upon GF support.</t>
  </si>
  <si>
    <t>Adding two full-time, academic support coordinator positions in the Miller Academic Center through a 4-year SCHEV Pell eligible student initiative. Continuation of these positions beyond the 4-year grant period would be contingent upon GF support.</t>
  </si>
  <si>
    <t>Continued delivery, assessment, and improvement of a Core Curriculum course that provides all cadets with a solid understanding of US History, the Constitution, and Civics. Additional faculty may be required.</t>
  </si>
  <si>
    <t>Obtain initial ABET accreditation of the Computer Science program's Theory and Application track.</t>
  </si>
  <si>
    <t xml:space="preserve">The Summer Undergraduate Entrepreneurship Program is a five-week, privately funded program that will provide coursework and experiential learning to help the participants develop an entrepreneurial mindset that will support their future plans – whether those plans involve starting a new business, employment within an existing organization, as military leaders, or self-employment. Grant funded through 2025; may require GF support to continue the program beyond the grant.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</si>
</sst>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0%"/>
    <numFmt numFmtId="168" formatCode="0.0"/>
  </numFmts>
  <fonts count="7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b/>
      <sz val="12"/>
      <name val="Arial"/>
      <family val="2"/>
    </font>
    <font>
      <sz val="12"/>
      <name val="Arial"/>
      <family val="2"/>
    </font>
    <font>
      <b/>
      <sz val="20"/>
      <name val="Arial"/>
      <family val="2"/>
    </font>
    <font>
      <b/>
      <sz val="12"/>
      <color theme="1"/>
      <name val="Arial"/>
      <family val="2"/>
    </font>
    <font>
      <sz val="12"/>
      <color theme="1"/>
      <name val="Arial"/>
      <family val="2"/>
    </font>
    <font>
      <i/>
      <sz val="12"/>
      <color theme="1"/>
      <name val="Arial"/>
      <family val="2"/>
    </font>
    <font>
      <sz val="10"/>
      <color theme="1"/>
      <name val="Arial"/>
      <family val="2"/>
    </font>
    <font>
      <b/>
      <sz val="10"/>
      <color theme="1"/>
      <name val="Arial"/>
      <family val="2"/>
    </font>
    <font>
      <sz val="16"/>
      <name val="Arial"/>
      <family val="2"/>
    </font>
    <font>
      <b/>
      <i/>
      <sz val="16"/>
      <name val="Arial"/>
      <family val="2"/>
    </font>
    <font>
      <b/>
      <i/>
      <sz val="10"/>
      <name val="Arial"/>
      <family val="2"/>
    </font>
    <font>
      <b/>
      <i/>
      <sz val="12"/>
      <name val="Arial"/>
      <family val="2"/>
    </font>
    <font>
      <sz val="18"/>
      <name val="Arial"/>
      <family val="2"/>
    </font>
    <font>
      <b/>
      <i/>
      <sz val="18"/>
      <name val="Arial"/>
      <family val="2"/>
    </font>
    <font>
      <u/>
      <sz val="10"/>
      <color indexed="12"/>
      <name val="Arial"/>
      <family val="2"/>
    </font>
    <font>
      <b/>
      <sz val="16"/>
      <color theme="1"/>
      <name val="Arial"/>
      <family val="2"/>
    </font>
    <font>
      <sz val="11"/>
      <color theme="1"/>
      <name val="Arial"/>
      <family val="2"/>
    </font>
    <font>
      <b/>
      <sz val="12"/>
      <color indexed="8"/>
      <name val="Arial"/>
      <family val="2"/>
    </font>
    <font>
      <b/>
      <sz val="10"/>
      <color rgb="FF000099"/>
      <name val="Arial"/>
      <family val="2"/>
    </font>
    <font>
      <b/>
      <sz val="14"/>
      <name val="Arial"/>
      <family val="2"/>
    </font>
    <font>
      <sz val="14"/>
      <name val="Arial"/>
      <family val="2"/>
    </font>
    <font>
      <sz val="10"/>
      <color indexed="12"/>
      <name val="Arial"/>
      <family val="2"/>
    </font>
    <font>
      <b/>
      <i/>
      <sz val="12"/>
      <color theme="1"/>
      <name val="Arial"/>
      <family val="2"/>
    </font>
    <font>
      <u/>
      <sz val="10"/>
      <color theme="10"/>
      <name val="Arial"/>
      <family val="2"/>
    </font>
    <font>
      <sz val="10"/>
      <color theme="10"/>
      <name val="Arial"/>
      <family val="2"/>
    </font>
    <font>
      <b/>
      <i/>
      <sz val="20"/>
      <name val="Arial"/>
      <family val="2"/>
    </font>
    <font>
      <u/>
      <sz val="10"/>
      <color theme="11"/>
      <name val="Arial"/>
      <family val="2"/>
    </font>
    <font>
      <sz val="10"/>
      <name val="Arial"/>
      <family val="2"/>
    </font>
    <font>
      <sz val="11"/>
      <name val="Arial"/>
      <family val="2"/>
    </font>
    <font>
      <b/>
      <sz val="11"/>
      <name val="Arial"/>
      <family val="2"/>
    </font>
    <font>
      <i/>
      <sz val="11"/>
      <color rgb="FFFF0000"/>
      <name val="Arial"/>
      <family val="2"/>
    </font>
    <font>
      <b/>
      <sz val="14"/>
      <color rgb="FFFF0000"/>
      <name val="Arial"/>
      <family val="2"/>
    </font>
    <font>
      <sz val="10"/>
      <color rgb="FF000000"/>
      <name val="Arial"/>
      <family val="2"/>
    </font>
    <font>
      <sz val="11"/>
      <color rgb="FF000000"/>
      <name val="Arial"/>
      <family val="2"/>
    </font>
    <font>
      <b/>
      <sz val="11"/>
      <color rgb="FF000000"/>
      <name val="Arial"/>
      <family val="2"/>
    </font>
    <font>
      <b/>
      <sz val="12"/>
      <color rgb="FF000000"/>
      <name val="Arial"/>
      <family val="2"/>
    </font>
    <font>
      <sz val="12"/>
      <color theme="1"/>
      <name val="Arial Narrow"/>
      <family val="2"/>
    </font>
    <font>
      <sz val="10"/>
      <color theme="0"/>
      <name val="Arial"/>
      <family val="2"/>
    </font>
    <font>
      <b/>
      <sz val="14"/>
      <color theme="1"/>
      <name val="Arial"/>
      <family val="2"/>
    </font>
    <font>
      <i/>
      <sz val="12"/>
      <name val="Arial"/>
      <family val="2"/>
    </font>
    <font>
      <b/>
      <sz val="10"/>
      <color indexed="8"/>
      <name val="Arial"/>
      <family val="2"/>
    </font>
    <font>
      <i/>
      <sz val="11"/>
      <color theme="1"/>
      <name val="Arial"/>
      <family val="2"/>
    </font>
    <font>
      <b/>
      <i/>
      <sz val="11"/>
      <color theme="1"/>
      <name val="Arial"/>
      <family val="2"/>
    </font>
    <font>
      <b/>
      <sz val="16"/>
      <name val="Arial"/>
      <family val="2"/>
    </font>
    <font>
      <b/>
      <sz val="13"/>
      <name val="Arial"/>
      <family val="2"/>
    </font>
    <font>
      <i/>
      <sz val="11"/>
      <name val="Arial"/>
      <family val="2"/>
    </font>
    <font>
      <b/>
      <sz val="13"/>
      <color rgb="FF333333"/>
      <name val="Arial"/>
      <family val="2"/>
    </font>
    <font>
      <sz val="13"/>
      <name val="Arial"/>
      <family val="2"/>
    </font>
    <font>
      <b/>
      <i/>
      <sz val="13"/>
      <name val="Arial"/>
      <family val="2"/>
    </font>
    <font>
      <i/>
      <sz val="11"/>
      <color rgb="FF333333"/>
      <name val="Arial"/>
      <family val="2"/>
    </font>
    <font>
      <sz val="10"/>
      <color rgb="FFFF0000"/>
      <name val="Arial"/>
      <family val="2"/>
    </font>
    <font>
      <b/>
      <i/>
      <sz val="11"/>
      <name val="Arial"/>
      <family val="2"/>
    </font>
    <font>
      <b/>
      <sz val="18"/>
      <color theme="1"/>
      <name val="Arial"/>
      <family val="2"/>
    </font>
    <font>
      <sz val="18"/>
      <color theme="1"/>
      <name val="Arial"/>
      <family val="2"/>
    </font>
    <font>
      <b/>
      <i/>
      <sz val="18"/>
      <color theme="1"/>
      <name val="Arial"/>
      <family val="2"/>
    </font>
    <font>
      <sz val="12"/>
      <color rgb="FFFF0000"/>
      <name val="Arial"/>
      <family val="2"/>
    </font>
    <font>
      <sz val="12"/>
      <color rgb="FF000000"/>
      <name val="Arial"/>
      <family val="2"/>
    </font>
    <font>
      <sz val="10"/>
      <name val="Arial"/>
      <family val="2"/>
    </font>
    <font>
      <u/>
      <sz val="11"/>
      <name val="Arial"/>
      <family val="2"/>
    </font>
    <font>
      <sz val="12"/>
      <color theme="1"/>
      <name val="Calibri"/>
      <family val="2"/>
      <scheme val="minor"/>
    </font>
    <font>
      <b/>
      <sz val="12"/>
      <color theme="1"/>
      <name val="Calibri"/>
      <family val="2"/>
      <scheme val="minor"/>
    </font>
    <font>
      <sz val="10"/>
      <color theme="1"/>
      <name val="Calibri"/>
      <family val="2"/>
      <scheme val="minor"/>
    </font>
    <font>
      <b/>
      <sz val="12"/>
      <name val="Arial"/>
      <family val="2"/>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indexed="22"/>
        <bgColor indexed="64"/>
      </patternFill>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34998626667073579"/>
        <bgColor indexed="64"/>
      </patternFill>
    </fill>
  </fills>
  <borders count="73">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right style="medium">
        <color auto="1"/>
      </right>
      <top/>
      <bottom/>
      <diagonal/>
    </border>
    <border>
      <left style="medium">
        <color auto="1"/>
      </left>
      <right style="medium">
        <color auto="1"/>
      </right>
      <top/>
      <bottom/>
      <diagonal/>
    </border>
    <border>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top/>
      <bottom/>
      <diagonal/>
    </border>
    <border>
      <left style="medium">
        <color auto="1"/>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thin">
        <color auto="1"/>
      </bottom>
      <diagonal/>
    </border>
    <border>
      <left style="medium">
        <color auto="1"/>
      </left>
      <right style="medium">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diagonal/>
    </border>
    <border>
      <left/>
      <right style="medium">
        <color auto="1"/>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style="thin">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diagonal/>
    </border>
    <border>
      <left style="thick">
        <color auto="1"/>
      </left>
      <right/>
      <top style="medium">
        <color auto="1"/>
      </top>
      <bottom style="medium">
        <color auto="1"/>
      </bottom>
      <diagonal/>
    </border>
    <border>
      <left style="thin">
        <color auto="1"/>
      </left>
      <right style="thin">
        <color auto="1"/>
      </right>
      <top style="double">
        <color indexed="64"/>
      </top>
      <bottom style="thin">
        <color auto="1"/>
      </bottom>
      <diagonal/>
    </border>
    <border>
      <left/>
      <right style="thin">
        <color auto="1"/>
      </right>
      <top style="double">
        <color indexed="64"/>
      </top>
      <bottom style="thin">
        <color auto="1"/>
      </bottom>
      <diagonal/>
    </border>
    <border>
      <left style="thin">
        <color auto="1"/>
      </left>
      <right/>
      <top style="medium">
        <color auto="1"/>
      </top>
      <bottom/>
      <diagonal/>
    </border>
    <border>
      <left style="thin">
        <color auto="1"/>
      </left>
      <right/>
      <top style="double">
        <color indexed="64"/>
      </top>
      <bottom style="thin">
        <color auto="1"/>
      </bottom>
      <diagonal/>
    </border>
    <border>
      <left style="thin">
        <color auto="1"/>
      </left>
      <right style="thin">
        <color auto="1"/>
      </right>
      <top style="double">
        <color indexed="64"/>
      </top>
      <bottom style="double">
        <color auto="1"/>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top/>
      <bottom/>
      <diagonal/>
    </border>
    <border>
      <left style="thin">
        <color auto="1"/>
      </left>
      <right style="thin">
        <color auto="1"/>
      </right>
      <top/>
      <bottom/>
      <diagonal/>
    </border>
    <border>
      <left/>
      <right style="medium">
        <color auto="1"/>
      </right>
      <top style="medium">
        <color auto="1"/>
      </top>
      <bottom/>
      <diagonal/>
    </border>
    <border>
      <left/>
      <right/>
      <top style="medium">
        <color auto="1"/>
      </top>
      <bottom/>
      <diagonal/>
    </border>
    <border>
      <left style="medium">
        <color auto="1"/>
      </left>
      <right/>
      <top style="thin">
        <color auto="1"/>
      </top>
      <bottom style="medium">
        <color auto="1"/>
      </bottom>
      <diagonal/>
    </border>
    <border>
      <left/>
      <right/>
      <top style="thin">
        <color auto="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auto="1"/>
      </left>
      <right/>
      <top style="medium">
        <color auto="1"/>
      </top>
      <bottom style="thin">
        <color auto="1"/>
      </bottom>
      <diagonal/>
    </border>
    <border>
      <left style="thin">
        <color indexed="64"/>
      </left>
      <right style="thin">
        <color indexed="64"/>
      </right>
      <top/>
      <bottom style="medium">
        <color auto="1"/>
      </bottom>
      <diagonal/>
    </border>
    <border>
      <left style="medium">
        <color auto="1"/>
      </left>
      <right/>
      <top style="medium">
        <color auto="1"/>
      </top>
      <bottom style="thin">
        <color auto="1"/>
      </bottom>
      <diagonal/>
    </border>
    <border>
      <left/>
      <right style="medium">
        <color indexed="64"/>
      </right>
      <top style="thin">
        <color indexed="64"/>
      </top>
      <bottom/>
      <diagonal/>
    </border>
    <border>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right/>
      <top style="medium">
        <color auto="1"/>
      </top>
      <bottom style="thin">
        <color indexed="64"/>
      </bottom>
      <diagonal/>
    </border>
  </borders>
  <cellStyleXfs count="139">
    <xf numFmtId="0" fontId="0" fillId="0" borderId="0"/>
    <xf numFmtId="0" fontId="12" fillId="0" borderId="0"/>
    <xf numFmtId="0" fontId="27" fillId="0" borderId="0" applyNumberFormat="0" applyFill="0" applyBorder="0" applyAlignment="0" applyProtection="0">
      <alignment vertical="top"/>
      <protection locked="0"/>
    </xf>
    <xf numFmtId="0" fontId="9" fillId="0" borderId="0"/>
    <xf numFmtId="0" fontId="9" fillId="0" borderId="0"/>
    <xf numFmtId="0" fontId="9" fillId="0" borderId="0"/>
    <xf numFmtId="9" fontId="12" fillId="0" borderId="0" applyFont="0" applyFill="0" applyBorder="0" applyAlignment="0" applyProtection="0"/>
    <xf numFmtId="0" fontId="36" fillId="0" borderId="0" applyNumberForma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36" fillId="0" borderId="0" applyNumberFormat="0" applyFill="0" applyBorder="0" applyAlignment="0" applyProtection="0">
      <alignment vertical="top"/>
      <protection locked="0"/>
    </xf>
    <xf numFmtId="0" fontId="8" fillId="0" borderId="0"/>
    <xf numFmtId="0" fontId="8" fillId="0" borderId="0"/>
    <xf numFmtId="0" fontId="8" fillId="0" borderId="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9" fontId="40"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12" fillId="0" borderId="0"/>
    <xf numFmtId="0" fontId="4" fillId="0" borderId="0"/>
    <xf numFmtId="0" fontId="3" fillId="0" borderId="0"/>
    <xf numFmtId="0" fontId="45" fillId="0" borderId="0"/>
    <xf numFmtId="43" fontId="12"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19" fillId="0" borderId="0" applyFont="0" applyFill="0" applyBorder="0" applyAlignment="0" applyProtection="0"/>
    <xf numFmtId="43" fontId="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12" fillId="0" borderId="0"/>
    <xf numFmtId="0" fontId="12" fillId="0" borderId="0"/>
    <xf numFmtId="0" fontId="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12"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9" fontId="19" fillId="0" borderId="0" applyFont="0" applyFill="0" applyBorder="0" applyAlignment="0" applyProtection="0"/>
    <xf numFmtId="9" fontId="2" fillId="0" borderId="0" applyFont="0" applyFill="0" applyBorder="0" applyAlignment="0" applyProtection="0"/>
    <xf numFmtId="0" fontId="1" fillId="0" borderId="0"/>
    <xf numFmtId="0" fontId="1" fillId="0" borderId="0"/>
    <xf numFmtId="0" fontId="1" fillId="0" borderId="0"/>
    <xf numFmtId="0" fontId="1" fillId="0" borderId="0"/>
    <xf numFmtId="43" fontId="70" fillId="0" borderId="0" applyFont="0" applyFill="0" applyBorder="0" applyAlignment="0" applyProtection="0"/>
  </cellStyleXfs>
  <cellXfs count="569">
    <xf numFmtId="0" fontId="0" fillId="0" borderId="0" xfId="0"/>
    <xf numFmtId="0" fontId="12" fillId="0" borderId="0" xfId="0" applyFont="1"/>
    <xf numFmtId="0" fontId="12" fillId="0" borderId="0" xfId="0" applyFont="1" applyAlignment="1">
      <alignment vertical="center"/>
    </xf>
    <xf numFmtId="0" fontId="14" fillId="0" borderId="0" xfId="0" applyFont="1"/>
    <xf numFmtId="0" fontId="21" fillId="0" borderId="0" xfId="0" applyFont="1" applyAlignment="1">
      <alignment vertical="center"/>
    </xf>
    <xf numFmtId="0" fontId="0" fillId="0" borderId="0" xfId="0" applyAlignment="1">
      <alignment vertical="center"/>
    </xf>
    <xf numFmtId="0" fontId="12" fillId="0" borderId="0" xfId="0" applyFont="1" applyAlignment="1">
      <alignment horizontal="left" vertical="center"/>
    </xf>
    <xf numFmtId="0" fontId="12" fillId="0" borderId="0" xfId="1" applyAlignment="1">
      <alignment vertical="center"/>
    </xf>
    <xf numFmtId="0" fontId="12" fillId="0" borderId="0" xfId="1"/>
    <xf numFmtId="0" fontId="25" fillId="0" borderId="0" xfId="1" applyFont="1"/>
    <xf numFmtId="0" fontId="12" fillId="0" borderId="0" xfId="1" applyAlignment="1">
      <alignment horizontal="left" vertical="center"/>
    </xf>
    <xf numFmtId="0" fontId="13" fillId="0" borderId="0" xfId="0" applyFont="1" applyAlignment="1">
      <alignment horizontal="left"/>
    </xf>
    <xf numFmtId="0" fontId="33" fillId="0" borderId="0" xfId="0" applyFont="1" applyAlignment="1">
      <alignment vertical="center"/>
    </xf>
    <xf numFmtId="164" fontId="12" fillId="6" borderId="2" xfId="0" applyNumberFormat="1" applyFont="1" applyFill="1" applyBorder="1" applyAlignment="1" applyProtection="1">
      <alignment horizontal="right" vertical="center"/>
      <protection locked="0"/>
    </xf>
    <xf numFmtId="164" fontId="12" fillId="2" borderId="2" xfId="0" applyNumberFormat="1" applyFont="1" applyFill="1" applyBorder="1" applyAlignment="1" applyProtection="1">
      <alignment horizontal="right" vertical="center"/>
      <protection locked="0"/>
    </xf>
    <xf numFmtId="0" fontId="32" fillId="0" borderId="0" xfId="0" applyFont="1" applyAlignment="1">
      <alignment vertical="center"/>
    </xf>
    <xf numFmtId="0" fontId="20" fillId="6" borderId="34" xfId="0" applyFont="1" applyFill="1" applyBorder="1" applyAlignment="1">
      <alignment vertical="center"/>
    </xf>
    <xf numFmtId="164" fontId="11" fillId="2" borderId="35" xfId="0" applyNumberFormat="1" applyFont="1" applyFill="1" applyBorder="1" applyAlignment="1" applyProtection="1">
      <alignment horizontal="right" vertical="center"/>
      <protection locked="0"/>
    </xf>
    <xf numFmtId="164" fontId="12" fillId="2" borderId="28" xfId="0" applyNumberFormat="1" applyFont="1" applyFill="1" applyBorder="1" applyAlignment="1" applyProtection="1">
      <alignment horizontal="right" vertical="center"/>
      <protection locked="0"/>
    </xf>
    <xf numFmtId="164" fontId="12" fillId="2" borderId="3" xfId="0" applyNumberFormat="1" applyFont="1" applyFill="1" applyBorder="1" applyAlignment="1" applyProtection="1">
      <alignment horizontal="right" vertical="center"/>
      <protection locked="0"/>
    </xf>
    <xf numFmtId="164" fontId="11" fillId="2" borderId="33" xfId="0" applyNumberFormat="1" applyFont="1" applyFill="1" applyBorder="1" applyAlignment="1">
      <alignment vertical="center"/>
    </xf>
    <xf numFmtId="0" fontId="12" fillId="6" borderId="17" xfId="0" applyFont="1" applyFill="1" applyBorder="1" applyAlignment="1">
      <alignment horizontal="left" vertical="center"/>
    </xf>
    <xf numFmtId="0" fontId="11" fillId="2" borderId="16" xfId="0" applyFont="1" applyFill="1" applyBorder="1" applyAlignment="1">
      <alignment horizontal="center" vertical="center"/>
    </xf>
    <xf numFmtId="0" fontId="12" fillId="6" borderId="0" xfId="0" applyFont="1" applyFill="1" applyAlignment="1">
      <alignment horizontal="left" vertical="center" indent="2"/>
    </xf>
    <xf numFmtId="0" fontId="12" fillId="6" borderId="0" xfId="0" applyFont="1" applyFill="1" applyAlignment="1">
      <alignment horizontal="left" vertical="center"/>
    </xf>
    <xf numFmtId="0" fontId="12" fillId="0" borderId="20" xfId="0" applyFont="1" applyBorder="1"/>
    <xf numFmtId="0" fontId="12" fillId="0" borderId="19" xfId="0" applyFont="1" applyBorder="1" applyAlignment="1">
      <alignment vertical="center"/>
    </xf>
    <xf numFmtId="0" fontId="12" fillId="2" borderId="19" xfId="0" applyFont="1" applyFill="1" applyBorder="1" applyAlignment="1">
      <alignment vertical="center"/>
    </xf>
    <xf numFmtId="0" fontId="12" fillId="6" borderId="23" xfId="0" applyFont="1" applyFill="1" applyBorder="1" applyAlignment="1">
      <alignment vertical="center" wrapText="1"/>
    </xf>
    <xf numFmtId="164" fontId="12" fillId="4" borderId="3" xfId="0" applyNumberFormat="1" applyFont="1" applyFill="1" applyBorder="1" applyAlignment="1" applyProtection="1">
      <alignment horizontal="right" vertical="center"/>
      <protection locked="0"/>
    </xf>
    <xf numFmtId="0" fontId="13" fillId="0" borderId="0" xfId="0" applyFont="1" applyAlignment="1">
      <alignment horizontal="left" vertical="center"/>
    </xf>
    <xf numFmtId="0" fontId="26" fillId="0" borderId="0" xfId="1" applyFont="1" applyAlignment="1">
      <alignment horizontal="center" vertical="center"/>
    </xf>
    <xf numFmtId="0" fontId="17" fillId="0" borderId="21" xfId="12" applyFont="1" applyBorder="1" applyAlignment="1">
      <alignment horizontal="left"/>
    </xf>
    <xf numFmtId="164" fontId="17" fillId="0" borderId="22" xfId="12" applyNumberFormat="1" applyFont="1" applyBorder="1" applyAlignment="1">
      <alignment horizontal="right" wrapText="1"/>
    </xf>
    <xf numFmtId="0" fontId="17" fillId="0" borderId="23" xfId="12" applyFont="1" applyBorder="1" applyAlignment="1">
      <alignment horizontal="left"/>
    </xf>
    <xf numFmtId="0" fontId="17" fillId="0" borderId="24" xfId="12" applyFont="1" applyBorder="1" applyAlignment="1">
      <alignment horizontal="left"/>
    </xf>
    <xf numFmtId="0" fontId="17" fillId="0" borderId="14" xfId="12" applyFont="1" applyBorder="1" applyAlignment="1">
      <alignment horizontal="left" indent="2"/>
    </xf>
    <xf numFmtId="164" fontId="17" fillId="3" borderId="22" xfId="12" applyNumberFormat="1" applyFont="1" applyFill="1" applyBorder="1" applyAlignment="1">
      <alignment horizontal="right" vertical="center" wrapText="1"/>
    </xf>
    <xf numFmtId="164" fontId="17" fillId="3" borderId="19" xfId="12" applyNumberFormat="1" applyFont="1" applyFill="1" applyBorder="1" applyAlignment="1">
      <alignment vertical="center"/>
    </xf>
    <xf numFmtId="164" fontId="17" fillId="3" borderId="16" xfId="12" applyNumberFormat="1" applyFont="1" applyFill="1" applyBorder="1" applyAlignment="1">
      <alignment vertical="center"/>
    </xf>
    <xf numFmtId="164" fontId="17" fillId="3" borderId="19" xfId="12" applyNumberFormat="1" applyFont="1" applyFill="1" applyBorder="1" applyAlignment="1">
      <alignment horizontal="right" vertical="center"/>
    </xf>
    <xf numFmtId="164" fontId="17" fillId="3" borderId="16" xfId="12" applyNumberFormat="1" applyFont="1" applyFill="1" applyBorder="1" applyAlignment="1">
      <alignment horizontal="right" vertical="center"/>
    </xf>
    <xf numFmtId="164" fontId="17" fillId="0" borderId="30" xfId="0" applyNumberFormat="1" applyFont="1" applyBorder="1" applyAlignment="1">
      <alignment horizontal="right" vertical="center" wrapText="1"/>
    </xf>
    <xf numFmtId="0" fontId="32" fillId="0" borderId="47" xfId="0" applyFont="1" applyBorder="1" applyAlignment="1">
      <alignment horizontal="center" vertical="top"/>
    </xf>
    <xf numFmtId="0" fontId="29" fillId="0" borderId="47" xfId="0" applyFont="1" applyBorder="1" applyAlignment="1">
      <alignment vertical="top" wrapText="1"/>
    </xf>
    <xf numFmtId="0" fontId="32" fillId="0" borderId="49" xfId="0" applyFont="1" applyBorder="1" applyAlignment="1">
      <alignment horizontal="center" vertical="top"/>
    </xf>
    <xf numFmtId="0" fontId="29" fillId="0" borderId="50" xfId="0" applyFont="1" applyBorder="1" applyAlignment="1">
      <alignment vertical="top" wrapText="1"/>
    </xf>
    <xf numFmtId="0" fontId="14" fillId="2" borderId="0" xfId="0" applyFont="1" applyFill="1"/>
    <xf numFmtId="0" fontId="29" fillId="0" borderId="51" xfId="0" applyFont="1" applyBorder="1" applyAlignment="1">
      <alignment horizontal="center" vertical="top" wrapText="1"/>
    </xf>
    <xf numFmtId="0" fontId="29" fillId="0" borderId="52" xfId="0" applyFont="1" applyBorder="1" applyAlignment="1">
      <alignment horizontal="center" vertical="top" wrapText="1"/>
    </xf>
    <xf numFmtId="164" fontId="17" fillId="2" borderId="32" xfId="0" applyNumberFormat="1" applyFont="1" applyFill="1" applyBorder="1" applyAlignment="1">
      <alignment horizontal="right" vertical="center"/>
    </xf>
    <xf numFmtId="164" fontId="17" fillId="2" borderId="33" xfId="0" applyNumberFormat="1" applyFont="1" applyFill="1" applyBorder="1" applyAlignment="1">
      <alignment horizontal="right" vertical="center"/>
    </xf>
    <xf numFmtId="164" fontId="17" fillId="2" borderId="2" xfId="0" applyNumberFormat="1" applyFont="1" applyFill="1" applyBorder="1" applyAlignment="1">
      <alignment horizontal="right" vertical="center"/>
    </xf>
    <xf numFmtId="164" fontId="17" fillId="2" borderId="54" xfId="0" applyNumberFormat="1" applyFont="1" applyFill="1" applyBorder="1" applyAlignment="1">
      <alignment horizontal="right" vertical="center"/>
    </xf>
    <xf numFmtId="164" fontId="17" fillId="0" borderId="53" xfId="0" applyNumberFormat="1" applyFont="1" applyBorder="1" applyAlignment="1">
      <alignment horizontal="right" vertical="center" wrapText="1"/>
    </xf>
    <xf numFmtId="164" fontId="12" fillId="0" borderId="0" xfId="1" applyNumberFormat="1" applyProtection="1">
      <protection locked="0"/>
    </xf>
    <xf numFmtId="0" fontId="26" fillId="0" borderId="0" xfId="1" applyFont="1" applyAlignment="1">
      <alignment vertical="center"/>
    </xf>
    <xf numFmtId="0" fontId="26" fillId="0" borderId="0" xfId="0" applyFont="1" applyAlignment="1">
      <alignment vertical="center"/>
    </xf>
    <xf numFmtId="0" fontId="53" fillId="5" borderId="10" xfId="0" applyFont="1" applyFill="1" applyBorder="1" applyAlignment="1">
      <alignment horizontal="center" vertical="center" wrapText="1"/>
    </xf>
    <xf numFmtId="0" fontId="53" fillId="2" borderId="10" xfId="1" applyFont="1" applyFill="1" applyBorder="1" applyAlignment="1">
      <alignment horizontal="center" vertical="center" wrapText="1"/>
    </xf>
    <xf numFmtId="0" fontId="53" fillId="5" borderId="48" xfId="0" applyFont="1" applyFill="1" applyBorder="1" applyAlignment="1">
      <alignment horizontal="center" vertical="center" wrapText="1"/>
    </xf>
    <xf numFmtId="0" fontId="56" fillId="0" borderId="57" xfId="1" applyFont="1" applyBorder="1" applyAlignment="1">
      <alignment horizontal="left" vertical="top" wrapText="1"/>
    </xf>
    <xf numFmtId="0" fontId="14" fillId="0" borderId="0" xfId="1" applyFont="1" applyAlignment="1">
      <alignment horizontal="left" vertical="top" wrapText="1"/>
    </xf>
    <xf numFmtId="0" fontId="57" fillId="3" borderId="55" xfId="1" applyFont="1" applyFill="1" applyBorder="1" applyAlignment="1">
      <alignment horizontal="left" vertical="top" wrapText="1"/>
    </xf>
    <xf numFmtId="0" fontId="41" fillId="0" borderId="0" xfId="1" applyFont="1" applyAlignment="1">
      <alignment horizontal="left" vertical="center" wrapText="1"/>
    </xf>
    <xf numFmtId="0" fontId="52" fillId="0" borderId="0" xfId="1" applyFont="1" applyAlignment="1">
      <alignment horizontal="left" vertical="top" wrapText="1"/>
    </xf>
    <xf numFmtId="0" fontId="41" fillId="0" borderId="57" xfId="1" applyFont="1" applyBorder="1" applyAlignment="1">
      <alignment horizontal="left" vertical="center" wrapText="1"/>
    </xf>
    <xf numFmtId="0" fontId="44" fillId="3" borderId="16" xfId="1" applyFont="1" applyFill="1" applyBorder="1" applyAlignment="1">
      <alignment horizontal="left" vertical="center" wrapText="1"/>
    </xf>
    <xf numFmtId="0" fontId="14" fillId="0" borderId="0" xfId="1" applyFont="1" applyAlignment="1">
      <alignment horizontal="left" vertical="center" wrapText="1"/>
    </xf>
    <xf numFmtId="0" fontId="57" fillId="3" borderId="55" xfId="1" applyFont="1" applyFill="1" applyBorder="1" applyAlignment="1">
      <alignment horizontal="left" vertical="center" wrapText="1"/>
    </xf>
    <xf numFmtId="0" fontId="46" fillId="0" borderId="55" xfId="1" applyFont="1" applyBorder="1" applyAlignment="1">
      <alignment horizontal="left" vertical="center" wrapText="1"/>
    </xf>
    <xf numFmtId="0" fontId="59" fillId="3" borderId="55" xfId="1" applyFont="1" applyFill="1" applyBorder="1" applyAlignment="1">
      <alignment horizontal="left" vertical="center" wrapText="1"/>
    </xf>
    <xf numFmtId="0" fontId="60" fillId="0" borderId="0" xfId="1" applyFont="1" applyAlignment="1">
      <alignment horizontal="left" vertical="center" wrapText="1"/>
    </xf>
    <xf numFmtId="0" fontId="41" fillId="0" borderId="55" xfId="1" applyFont="1" applyBorder="1" applyAlignment="1">
      <alignment horizontal="left" vertical="center" wrapText="1"/>
    </xf>
    <xf numFmtId="0" fontId="57" fillId="7" borderId="55" xfId="1" applyFont="1" applyFill="1" applyBorder="1" applyAlignment="1">
      <alignment horizontal="left" vertical="center" wrapText="1"/>
    </xf>
    <xf numFmtId="0" fontId="41" fillId="7" borderId="57" xfId="1" applyFont="1" applyFill="1" applyBorder="1" applyAlignment="1">
      <alignment horizontal="left" vertical="center" wrapText="1"/>
    </xf>
    <xf numFmtId="0" fontId="61" fillId="3" borderId="55" xfId="1" applyFont="1" applyFill="1" applyBorder="1" applyAlignment="1">
      <alignment horizontal="left" vertical="center" wrapText="1"/>
    </xf>
    <xf numFmtId="0" fontId="62" fillId="0" borderId="57" xfId="1" applyFont="1" applyBorder="1" applyAlignment="1">
      <alignment horizontal="left" vertical="center" wrapText="1"/>
    </xf>
    <xf numFmtId="0" fontId="58" fillId="0" borderId="0" xfId="1" applyFont="1" applyAlignment="1">
      <alignment horizontal="left" vertical="center" wrapText="1"/>
    </xf>
    <xf numFmtId="0" fontId="58" fillId="0" borderId="57" xfId="1" applyFont="1" applyBorder="1" applyAlignment="1">
      <alignment horizontal="left" vertical="center" wrapText="1"/>
    </xf>
    <xf numFmtId="0" fontId="14" fillId="0" borderId="57" xfId="1" applyFont="1" applyBorder="1" applyAlignment="1">
      <alignment horizontal="left" vertical="top" wrapText="1"/>
    </xf>
    <xf numFmtId="0" fontId="12" fillId="0" borderId="1" xfId="0" applyFont="1" applyBorder="1"/>
    <xf numFmtId="165" fontId="12" fillId="3" borderId="55" xfId="1" applyNumberFormat="1" applyFill="1" applyBorder="1" applyAlignment="1" applyProtection="1">
      <alignment horizontal="right"/>
      <protection locked="0"/>
    </xf>
    <xf numFmtId="164" fontId="12" fillId="3" borderId="0" xfId="1" applyNumberFormat="1" applyFill="1" applyAlignment="1">
      <alignment horizontal="right" vertical="center"/>
    </xf>
    <xf numFmtId="0" fontId="63" fillId="3" borderId="0" xfId="1" quotePrefix="1" applyFont="1" applyFill="1" applyAlignment="1">
      <alignment horizontal="left" vertical="center"/>
    </xf>
    <xf numFmtId="165" fontId="12" fillId="3" borderId="1" xfId="1" applyNumberFormat="1" applyFill="1" applyBorder="1" applyAlignment="1" applyProtection="1">
      <alignment horizontal="right"/>
      <protection locked="0"/>
    </xf>
    <xf numFmtId="165" fontId="11" fillId="3" borderId="16" xfId="1" applyNumberFormat="1" applyFont="1" applyFill="1" applyBorder="1" applyAlignment="1" applyProtection="1">
      <alignment horizontal="right"/>
      <protection locked="0"/>
    </xf>
    <xf numFmtId="164" fontId="12" fillId="0" borderId="0" xfId="1" applyNumberFormat="1" applyAlignment="1">
      <alignment horizontal="left" vertical="center"/>
    </xf>
    <xf numFmtId="164" fontId="17" fillId="0" borderId="21" xfId="12" applyNumberFormat="1" applyFont="1" applyBorder="1" applyAlignment="1">
      <alignment horizontal="right" wrapText="1"/>
    </xf>
    <xf numFmtId="164" fontId="17" fillId="3" borderId="7" xfId="12" applyNumberFormat="1" applyFont="1" applyFill="1" applyBorder="1" applyAlignment="1">
      <alignment vertical="center"/>
    </xf>
    <xf numFmtId="164" fontId="17" fillId="3" borderId="29" xfId="12" applyNumberFormat="1" applyFont="1" applyFill="1" applyBorder="1" applyAlignment="1">
      <alignment horizontal="right" wrapText="1"/>
    </xf>
    <xf numFmtId="164" fontId="17" fillId="3" borderId="32" xfId="12" applyNumberFormat="1" applyFont="1" applyFill="1" applyBorder="1" applyAlignment="1">
      <alignment horizontal="right" wrapText="1"/>
    </xf>
    <xf numFmtId="164" fontId="17" fillId="3" borderId="34" xfId="12" applyNumberFormat="1" applyFont="1" applyFill="1" applyBorder="1" applyAlignment="1">
      <alignment horizontal="right" wrapText="1"/>
    </xf>
    <xf numFmtId="0" fontId="19" fillId="0" borderId="0" xfId="1" applyFont="1"/>
    <xf numFmtId="0" fontId="23" fillId="0" borderId="2" xfId="1" applyFont="1" applyBorder="1"/>
    <xf numFmtId="0" fontId="11" fillId="2" borderId="2" xfId="1" applyFont="1" applyFill="1" applyBorder="1" applyAlignment="1">
      <alignment horizontal="center" vertical="center" wrapText="1"/>
    </xf>
    <xf numFmtId="0" fontId="11" fillId="0" borderId="0" xfId="1" applyFont="1"/>
    <xf numFmtId="0" fontId="65" fillId="6" borderId="0" xfId="0" applyFont="1" applyFill="1"/>
    <xf numFmtId="0" fontId="66" fillId="6" borderId="0" xfId="0" applyFont="1" applyFill="1"/>
    <xf numFmtId="0" fontId="17" fillId="6" borderId="0" xfId="0" applyFont="1" applyFill="1"/>
    <xf numFmtId="0" fontId="17" fillId="6" borderId="0" xfId="0" applyFont="1" applyFill="1" applyAlignment="1">
      <alignment wrapText="1"/>
    </xf>
    <xf numFmtId="0" fontId="12" fillId="6" borderId="0" xfId="0" applyFont="1" applyFill="1" applyAlignment="1">
      <alignment vertical="center"/>
    </xf>
    <xf numFmtId="0" fontId="14" fillId="0" borderId="61" xfId="1" applyFont="1" applyBorder="1" applyAlignment="1">
      <alignment horizontal="left" vertical="top" wrapText="1"/>
    </xf>
    <xf numFmtId="0" fontId="11" fillId="2" borderId="55" xfId="1" applyFont="1" applyFill="1" applyBorder="1" applyAlignment="1">
      <alignment horizontal="center"/>
    </xf>
    <xf numFmtId="0" fontId="11" fillId="2" borderId="55" xfId="1" applyFont="1" applyFill="1" applyBorder="1" applyAlignment="1">
      <alignment horizontal="center" vertical="center" wrapText="1"/>
    </xf>
    <xf numFmtId="0" fontId="23" fillId="0" borderId="55" xfId="1" applyFont="1" applyBorder="1"/>
    <xf numFmtId="0" fontId="12" fillId="0" borderId="55" xfId="1" applyBorder="1" applyAlignment="1">
      <alignment horizontal="left" indent="1"/>
    </xf>
    <xf numFmtId="164" fontId="12" fillId="0" borderId="55" xfId="1" applyNumberFormat="1" applyBorder="1" applyProtection="1">
      <protection locked="0"/>
    </xf>
    <xf numFmtId="0" fontId="12" fillId="0" borderId="55" xfId="1" applyBorder="1"/>
    <xf numFmtId="164" fontId="12" fillId="2" borderId="55" xfId="1" applyNumberFormat="1" applyFill="1" applyBorder="1" applyProtection="1">
      <protection locked="0"/>
    </xf>
    <xf numFmtId="0" fontId="11" fillId="0" borderId="55" xfId="1" applyFont="1" applyBorder="1"/>
    <xf numFmtId="164" fontId="17" fillId="2" borderId="55" xfId="0" applyNumberFormat="1" applyFont="1" applyFill="1" applyBorder="1" applyAlignment="1">
      <alignment horizontal="right" vertical="center"/>
    </xf>
    <xf numFmtId="164" fontId="12" fillId="6" borderId="55" xfId="0" applyNumberFormat="1" applyFont="1" applyFill="1" applyBorder="1" applyAlignment="1" applyProtection="1">
      <alignment horizontal="right" vertical="center"/>
      <protection locked="0"/>
    </xf>
    <xf numFmtId="164" fontId="12" fillId="2" borderId="55" xfId="0" applyNumberFormat="1" applyFont="1" applyFill="1" applyBorder="1" applyAlignment="1" applyProtection="1">
      <alignment horizontal="right" vertical="center"/>
      <protection locked="0"/>
    </xf>
    <xf numFmtId="164" fontId="12" fillId="4" borderId="55" xfId="0" applyNumberFormat="1" applyFont="1" applyFill="1" applyBorder="1" applyAlignment="1" applyProtection="1">
      <alignment horizontal="right" vertical="center"/>
      <protection locked="0"/>
    </xf>
    <xf numFmtId="0" fontId="0" fillId="0" borderId="56" xfId="0" applyBorder="1"/>
    <xf numFmtId="0" fontId="0" fillId="0" borderId="28" xfId="0" applyBorder="1"/>
    <xf numFmtId="0" fontId="0" fillId="0" borderId="62" xfId="0" applyBorder="1"/>
    <xf numFmtId="165" fontId="12" fillId="2" borderId="63" xfId="1" applyNumberFormat="1" applyFill="1" applyBorder="1" applyAlignment="1" applyProtection="1">
      <alignment horizontal="right"/>
      <protection locked="0"/>
    </xf>
    <xf numFmtId="165" fontId="12" fillId="2" borderId="64" xfId="1" applyNumberFormat="1" applyFill="1" applyBorder="1" applyAlignment="1" applyProtection="1">
      <alignment horizontal="right"/>
      <protection locked="0"/>
    </xf>
    <xf numFmtId="165" fontId="12" fillId="2" borderId="27" xfId="1" applyNumberFormat="1" applyFill="1" applyBorder="1" applyAlignment="1" applyProtection="1">
      <alignment horizontal="right"/>
      <protection locked="0"/>
    </xf>
    <xf numFmtId="0" fontId="0" fillId="0" borderId="57" xfId="0" applyBorder="1"/>
    <xf numFmtId="0" fontId="0" fillId="2" borderId="3" xfId="0" applyFill="1" applyBorder="1"/>
    <xf numFmtId="164" fontId="17" fillId="2" borderId="55" xfId="0" applyNumberFormat="1" applyFont="1" applyFill="1" applyBorder="1" applyAlignment="1">
      <alignment horizontal="right" wrapText="1"/>
    </xf>
    <xf numFmtId="164" fontId="17" fillId="2" borderId="3" xfId="0" applyNumberFormat="1" applyFont="1" applyFill="1" applyBorder="1" applyAlignment="1">
      <alignment horizontal="right" wrapText="1"/>
    </xf>
    <xf numFmtId="164" fontId="17" fillId="0" borderId="1" xfId="0" applyNumberFormat="1" applyFont="1" applyBorder="1" applyAlignment="1">
      <alignment horizontal="right" wrapText="1"/>
    </xf>
    <xf numFmtId="164" fontId="17" fillId="0" borderId="57" xfId="0" applyNumberFormat="1" applyFont="1" applyBorder="1" applyAlignment="1">
      <alignment horizontal="right" wrapText="1"/>
    </xf>
    <xf numFmtId="164" fontId="17" fillId="0" borderId="2" xfId="0" applyNumberFormat="1" applyFont="1" applyBorder="1" applyAlignment="1">
      <alignment horizontal="right" wrapText="1"/>
    </xf>
    <xf numFmtId="164" fontId="17" fillId="0" borderId="62" xfId="0" applyNumberFormat="1" applyFont="1" applyBorder="1" applyAlignment="1">
      <alignment horizontal="right" wrapText="1"/>
    </xf>
    <xf numFmtId="164" fontId="17" fillId="0" borderId="28" xfId="0" applyNumberFormat="1" applyFont="1" applyBorder="1" applyAlignment="1">
      <alignment horizontal="right" wrapText="1"/>
    </xf>
    <xf numFmtId="9" fontId="0" fillId="2" borderId="64" xfId="83" applyFont="1" applyFill="1" applyBorder="1" applyAlignment="1">
      <alignment horizontal="right"/>
    </xf>
    <xf numFmtId="9" fontId="11" fillId="0" borderId="4" xfId="83" applyFont="1" applyFill="1" applyBorder="1" applyAlignment="1">
      <alignment horizontal="center" vertical="center"/>
    </xf>
    <xf numFmtId="0" fontId="12" fillId="2" borderId="55" xfId="1" applyFill="1" applyBorder="1"/>
    <xf numFmtId="0" fontId="19" fillId="2" borderId="55" xfId="1" applyFont="1" applyFill="1" applyBorder="1"/>
    <xf numFmtId="0" fontId="11" fillId="2" borderId="3" xfId="1" applyFont="1" applyFill="1" applyBorder="1" applyAlignment="1">
      <alignment horizontal="center"/>
    </xf>
    <xf numFmtId="164" fontId="12" fillId="0" borderId="3" xfId="1" applyNumberFormat="1" applyBorder="1" applyProtection="1">
      <protection locked="0"/>
    </xf>
    <xf numFmtId="164" fontId="12" fillId="2" borderId="3" xfId="1" applyNumberFormat="1" applyFill="1" applyBorder="1" applyProtection="1">
      <protection locked="0"/>
    </xf>
    <xf numFmtId="164" fontId="17" fillId="3" borderId="68" xfId="12" applyNumberFormat="1" applyFont="1" applyFill="1" applyBorder="1" applyAlignment="1">
      <alignment horizontal="right" wrapText="1"/>
    </xf>
    <xf numFmtId="164" fontId="17" fillId="3" borderId="23" xfId="12" applyNumberFormat="1" applyFont="1" applyFill="1" applyBorder="1" applyAlignment="1">
      <alignment horizontal="right" wrapText="1"/>
    </xf>
    <xf numFmtId="164" fontId="17" fillId="3" borderId="60" xfId="12" applyNumberFormat="1" applyFont="1" applyFill="1" applyBorder="1" applyAlignment="1">
      <alignment horizontal="right" wrapText="1"/>
    </xf>
    <xf numFmtId="164" fontId="17" fillId="3" borderId="10" xfId="12" applyNumberFormat="1" applyFont="1" applyFill="1" applyBorder="1" applyAlignment="1">
      <alignment vertical="center"/>
    </xf>
    <xf numFmtId="165" fontId="12" fillId="0" borderId="0" xfId="83" applyNumberFormat="1" applyFont="1"/>
    <xf numFmtId="165" fontId="54" fillId="0" borderId="0" xfId="83" applyNumberFormat="1" applyFont="1" applyBorder="1" applyAlignment="1">
      <alignment horizontal="left" vertical="center" wrapText="1"/>
    </xf>
    <xf numFmtId="165" fontId="16" fillId="7" borderId="0" xfId="83" applyNumberFormat="1" applyFont="1" applyFill="1" applyBorder="1" applyAlignment="1">
      <alignment horizontal="left" vertical="center" wrapText="1"/>
    </xf>
    <xf numFmtId="165" fontId="28" fillId="0" borderId="0" xfId="83" applyNumberFormat="1" applyFont="1" applyBorder="1" applyAlignment="1">
      <alignment horizontal="left"/>
    </xf>
    <xf numFmtId="165" fontId="16" fillId="0" borderId="0" xfId="83" applyNumberFormat="1" applyFont="1" applyFill="1" applyBorder="1" applyAlignment="1">
      <alignment horizontal="center" vertical="center" wrapText="1"/>
    </xf>
    <xf numFmtId="165" fontId="17" fillId="3" borderId="57" xfId="83" applyNumberFormat="1" applyFont="1" applyFill="1" applyBorder="1" applyAlignment="1">
      <alignment horizontal="right" wrapText="1"/>
    </xf>
    <xf numFmtId="165" fontId="17" fillId="3" borderId="2" xfId="83" applyNumberFormat="1" applyFont="1" applyFill="1" applyBorder="1" applyAlignment="1">
      <alignment horizontal="right" wrapText="1"/>
    </xf>
    <xf numFmtId="165" fontId="12" fillId="0" borderId="0" xfId="83" applyNumberFormat="1" applyFont="1" applyAlignment="1">
      <alignment horizontal="left" vertical="center"/>
    </xf>
    <xf numFmtId="165" fontId="43" fillId="0" borderId="0" xfId="83" applyNumberFormat="1" applyFont="1" applyBorder="1" applyAlignment="1">
      <alignment horizontal="left" vertical="center" wrapText="1"/>
    </xf>
    <xf numFmtId="0" fontId="17" fillId="0" borderId="0" xfId="1" applyFont="1" applyAlignment="1">
      <alignment horizontal="left" vertical="center" wrapText="1"/>
    </xf>
    <xf numFmtId="165" fontId="26" fillId="0" borderId="0" xfId="83" applyNumberFormat="1" applyFont="1" applyAlignment="1">
      <alignment vertical="center"/>
    </xf>
    <xf numFmtId="165" fontId="11" fillId="2" borderId="55" xfId="83" applyNumberFormat="1" applyFont="1" applyFill="1" applyBorder="1" applyAlignment="1">
      <alignment horizontal="center"/>
    </xf>
    <xf numFmtId="165" fontId="0" fillId="2" borderId="64" xfId="83" applyNumberFormat="1" applyFont="1" applyFill="1" applyBorder="1" applyAlignment="1">
      <alignment horizontal="right"/>
    </xf>
    <xf numFmtId="165" fontId="12" fillId="0" borderId="0" xfId="83" applyNumberFormat="1" applyFont="1" applyFill="1" applyBorder="1" applyProtection="1">
      <protection locked="0"/>
    </xf>
    <xf numFmtId="165" fontId="12" fillId="0" borderId="0" xfId="83" applyNumberFormat="1" applyFont="1" applyBorder="1" applyProtection="1">
      <protection locked="0"/>
    </xf>
    <xf numFmtId="165" fontId="0" fillId="0" borderId="0" xfId="83" applyNumberFormat="1" applyFont="1"/>
    <xf numFmtId="165" fontId="11" fillId="2" borderId="4" xfId="83" applyNumberFormat="1" applyFont="1" applyFill="1" applyBorder="1" applyAlignment="1">
      <alignment horizontal="center" vertical="center"/>
    </xf>
    <xf numFmtId="9" fontId="11" fillId="2" borderId="0" xfId="83" applyFont="1" applyFill="1" applyBorder="1" applyAlignment="1">
      <alignment horizontal="center" vertical="center"/>
    </xf>
    <xf numFmtId="165" fontId="0" fillId="2" borderId="0" xfId="83" applyNumberFormat="1" applyFont="1" applyFill="1" applyAlignment="1">
      <alignment horizontal="right"/>
    </xf>
    <xf numFmtId="0" fontId="17" fillId="0" borderId="0" xfId="12" applyFont="1" applyAlignment="1">
      <alignment horizontal="left" indent="2"/>
    </xf>
    <xf numFmtId="164" fontId="17" fillId="0" borderId="0" xfId="12" applyNumberFormat="1" applyFont="1" applyAlignment="1">
      <alignment horizontal="right" vertical="center"/>
    </xf>
    <xf numFmtId="165" fontId="11" fillId="0" borderId="0" xfId="1" applyNumberFormat="1" applyFont="1" applyAlignment="1" applyProtection="1">
      <alignment horizontal="right"/>
      <protection locked="0"/>
    </xf>
    <xf numFmtId="164" fontId="17" fillId="0" borderId="0" xfId="12" applyNumberFormat="1" applyFont="1" applyAlignment="1">
      <alignment vertical="center"/>
    </xf>
    <xf numFmtId="165" fontId="17" fillId="0" borderId="0" xfId="83" applyNumberFormat="1" applyFont="1" applyFill="1" applyBorder="1" applyAlignment="1">
      <alignment horizontal="right" wrapText="1"/>
    </xf>
    <xf numFmtId="0" fontId="0" fillId="6" borderId="0" xfId="0" applyFill="1"/>
    <xf numFmtId="0" fontId="0" fillId="6" borderId="65" xfId="0" applyFill="1" applyBorder="1"/>
    <xf numFmtId="0" fontId="0" fillId="6" borderId="59" xfId="0" applyFill="1" applyBorder="1"/>
    <xf numFmtId="0" fontId="0" fillId="6" borderId="17" xfId="0" applyFill="1" applyBorder="1"/>
    <xf numFmtId="0" fontId="11" fillId="6" borderId="17" xfId="0" applyFont="1" applyFill="1" applyBorder="1"/>
    <xf numFmtId="0" fontId="11" fillId="6" borderId="24" xfId="0" applyFont="1" applyFill="1" applyBorder="1"/>
    <xf numFmtId="0" fontId="11" fillId="6" borderId="21" xfId="0" applyFont="1" applyFill="1" applyBorder="1"/>
    <xf numFmtId="0" fontId="12" fillId="6" borderId="56" xfId="0" applyFont="1" applyFill="1" applyBorder="1"/>
    <xf numFmtId="0" fontId="11" fillId="9" borderId="18" xfId="0" applyFont="1" applyFill="1" applyBorder="1"/>
    <xf numFmtId="0" fontId="67" fillId="6" borderId="0" xfId="0" applyFont="1" applyFill="1" applyAlignment="1">
      <alignment vertical="center" wrapText="1"/>
    </xf>
    <xf numFmtId="0" fontId="17" fillId="2" borderId="1" xfId="0" applyFont="1" applyFill="1" applyBorder="1" applyAlignment="1">
      <alignment horizontal="center" wrapText="1"/>
    </xf>
    <xf numFmtId="0" fontId="17" fillId="2" borderId="57" xfId="0" applyFont="1" applyFill="1" applyBorder="1" applyAlignment="1">
      <alignment horizontal="center" wrapText="1"/>
    </xf>
    <xf numFmtId="0" fontId="17" fillId="2" borderId="62" xfId="0" applyFont="1" applyFill="1" applyBorder="1" applyAlignment="1">
      <alignment horizontal="center" wrapText="1"/>
    </xf>
    <xf numFmtId="0" fontId="17" fillId="2" borderId="63" xfId="0" applyFont="1" applyFill="1" applyBorder="1" applyAlignment="1">
      <alignment horizontal="center" wrapText="1"/>
    </xf>
    <xf numFmtId="0" fontId="11" fillId="6" borderId="23" xfId="0" applyFont="1" applyFill="1" applyBorder="1"/>
    <xf numFmtId="0" fontId="13" fillId="6" borderId="3" xfId="1" applyFont="1" applyFill="1" applyBorder="1" applyAlignment="1" applyProtection="1">
      <alignment horizontal="center" vertical="center"/>
      <protection locked="0"/>
    </xf>
    <xf numFmtId="0" fontId="13" fillId="6" borderId="4" xfId="1" applyFont="1" applyFill="1" applyBorder="1" applyAlignment="1" applyProtection="1">
      <alignment horizontal="center" vertical="center"/>
      <protection locked="0"/>
    </xf>
    <xf numFmtId="0" fontId="24" fillId="6" borderId="0" xfId="1" applyFont="1" applyFill="1" applyAlignment="1" applyProtection="1">
      <alignment vertical="center"/>
      <protection locked="0"/>
    </xf>
    <xf numFmtId="164" fontId="13" fillId="6" borderId="0" xfId="1" applyNumberFormat="1" applyFont="1" applyFill="1" applyAlignment="1" applyProtection="1">
      <alignment vertical="center"/>
      <protection locked="0"/>
    </xf>
    <xf numFmtId="0" fontId="26" fillId="6" borderId="0" xfId="0" applyFont="1" applyFill="1" applyAlignment="1">
      <alignment vertical="center"/>
    </xf>
    <xf numFmtId="0" fontId="13" fillId="6" borderId="0" xfId="1" applyFont="1" applyFill="1" applyAlignment="1" applyProtection="1">
      <alignment horizontal="left" vertical="center"/>
      <protection locked="0"/>
    </xf>
    <xf numFmtId="164" fontId="17" fillId="6" borderId="0" xfId="0" applyNumberFormat="1" applyFont="1" applyFill="1" applyAlignment="1" applyProtection="1">
      <alignment horizontal="right" vertical="center" wrapText="1"/>
      <protection locked="0"/>
    </xf>
    <xf numFmtId="0" fontId="32" fillId="6" borderId="0" xfId="0" applyFont="1" applyFill="1" applyAlignment="1" applyProtection="1">
      <alignment horizontal="center" vertical="center"/>
      <protection locked="0"/>
    </xf>
    <xf numFmtId="0" fontId="14" fillId="6" borderId="0" xfId="1" applyFont="1" applyFill="1" applyAlignment="1" applyProtection="1">
      <alignment vertical="center"/>
      <protection locked="0"/>
    </xf>
    <xf numFmtId="0" fontId="13" fillId="6" borderId="0" xfId="1" applyFont="1" applyFill="1" applyAlignment="1" applyProtection="1">
      <alignment horizontal="center" vertical="center"/>
      <protection locked="0"/>
    </xf>
    <xf numFmtId="0" fontId="13" fillId="6" borderId="18" xfId="1" applyFont="1" applyFill="1" applyBorder="1" applyAlignment="1" applyProtection="1">
      <alignment horizontal="left" vertical="center"/>
      <protection locked="0"/>
    </xf>
    <xf numFmtId="0" fontId="13" fillId="6" borderId="10" xfId="1" applyFont="1" applyFill="1" applyBorder="1" applyAlignment="1" applyProtection="1">
      <alignment horizontal="left" vertical="center"/>
      <protection locked="0"/>
    </xf>
    <xf numFmtId="164" fontId="17" fillId="8" borderId="58" xfId="0" applyNumberFormat="1" applyFont="1" applyFill="1" applyBorder="1" applyAlignment="1" applyProtection="1">
      <alignment horizontal="right" vertical="center" wrapText="1"/>
      <protection locked="0"/>
    </xf>
    <xf numFmtId="164" fontId="17" fillId="8" borderId="9" xfId="0" applyNumberFormat="1" applyFont="1" applyFill="1" applyBorder="1" applyAlignment="1" applyProtection="1">
      <alignment horizontal="right" vertical="center" wrapText="1"/>
      <protection locked="0"/>
    </xf>
    <xf numFmtId="0" fontId="30" fillId="3" borderId="0" xfId="0" applyFont="1" applyFill="1" applyAlignment="1">
      <alignment horizontal="center" vertical="center" wrapText="1"/>
    </xf>
    <xf numFmtId="164" fontId="17" fillId="3" borderId="0" xfId="0" applyNumberFormat="1" applyFont="1" applyFill="1" applyAlignment="1" applyProtection="1">
      <alignment horizontal="right" vertical="center" wrapText="1"/>
      <protection locked="0"/>
    </xf>
    <xf numFmtId="0" fontId="30" fillId="3" borderId="57" xfId="0" applyFont="1" applyFill="1" applyBorder="1" applyAlignment="1">
      <alignment horizontal="center" vertical="center" wrapText="1"/>
    </xf>
    <xf numFmtId="164" fontId="13" fillId="2" borderId="57" xfId="1" applyNumberFormat="1" applyFont="1" applyFill="1" applyBorder="1" applyAlignment="1" applyProtection="1">
      <alignment vertical="center"/>
      <protection locked="0"/>
    </xf>
    <xf numFmtId="164" fontId="13" fillId="3" borderId="57" xfId="1" applyNumberFormat="1" applyFont="1" applyFill="1" applyBorder="1" applyAlignment="1" applyProtection="1">
      <alignment vertical="center"/>
      <protection locked="0"/>
    </xf>
    <xf numFmtId="0" fontId="30" fillId="3" borderId="56" xfId="0" applyFont="1" applyFill="1" applyBorder="1" applyAlignment="1">
      <alignment horizontal="center" vertical="center" wrapText="1"/>
    </xf>
    <xf numFmtId="0" fontId="30" fillId="3" borderId="64" xfId="0" applyFont="1" applyFill="1" applyBorder="1" applyAlignment="1">
      <alignment horizontal="center" vertical="center" wrapText="1"/>
    </xf>
    <xf numFmtId="164" fontId="17" fillId="3" borderId="56" xfId="0" applyNumberFormat="1" applyFont="1" applyFill="1" applyBorder="1" applyAlignment="1" applyProtection="1">
      <alignment horizontal="right" vertical="center" wrapText="1"/>
      <protection locked="0"/>
    </xf>
    <xf numFmtId="164" fontId="17" fillId="3" borderId="64" xfId="0" applyNumberFormat="1" applyFont="1" applyFill="1" applyBorder="1" applyAlignment="1" applyProtection="1">
      <alignment horizontal="right" vertical="center" wrapText="1"/>
      <protection locked="0"/>
    </xf>
    <xf numFmtId="164" fontId="17" fillId="3" borderId="57" xfId="0" applyNumberFormat="1" applyFont="1" applyFill="1" applyBorder="1" applyAlignment="1" applyProtection="1">
      <alignment horizontal="right" vertical="center" wrapText="1"/>
      <protection locked="0"/>
    </xf>
    <xf numFmtId="0" fontId="30" fillId="2" borderId="55" xfId="0" applyFont="1" applyFill="1" applyBorder="1" applyAlignment="1">
      <alignment horizontal="center" vertical="center" wrapText="1"/>
    </xf>
    <xf numFmtId="0" fontId="30" fillId="2" borderId="3" xfId="0" applyFont="1" applyFill="1" applyBorder="1" applyAlignment="1">
      <alignment horizontal="center" vertical="center" wrapText="1"/>
    </xf>
    <xf numFmtId="0" fontId="30" fillId="2" borderId="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4" fillId="6" borderId="56" xfId="1" applyFont="1" applyFill="1" applyBorder="1" applyAlignment="1" applyProtection="1">
      <alignment vertical="center"/>
      <protection locked="0"/>
    </xf>
    <xf numFmtId="0" fontId="24" fillId="2" borderId="66" xfId="1" applyFont="1" applyFill="1" applyBorder="1" applyAlignment="1" applyProtection="1">
      <alignment vertical="center"/>
      <protection locked="0"/>
    </xf>
    <xf numFmtId="164" fontId="17" fillId="8" borderId="56" xfId="0" applyNumberFormat="1" applyFont="1" applyFill="1" applyBorder="1" applyAlignment="1" applyProtection="1">
      <alignment horizontal="right" vertical="center" wrapText="1"/>
      <protection locked="0"/>
    </xf>
    <xf numFmtId="164" fontId="17" fillId="8" borderId="0" xfId="0" applyNumberFormat="1" applyFont="1" applyFill="1" applyAlignment="1" applyProtection="1">
      <alignment horizontal="right" vertical="center" wrapText="1"/>
      <protection locked="0"/>
    </xf>
    <xf numFmtId="164" fontId="17" fillId="8" borderId="64" xfId="0" applyNumberFormat="1" applyFont="1" applyFill="1" applyBorder="1" applyAlignment="1" applyProtection="1">
      <alignment horizontal="right" vertical="center" wrapText="1"/>
      <protection locked="0"/>
    </xf>
    <xf numFmtId="164" fontId="17" fillId="8" borderId="57" xfId="0" applyNumberFormat="1" applyFont="1" applyFill="1" applyBorder="1" applyAlignment="1" applyProtection="1">
      <alignment horizontal="right" vertical="center" wrapText="1"/>
      <protection locked="0"/>
    </xf>
    <xf numFmtId="0" fontId="12" fillId="6" borderId="0" xfId="0" applyFont="1" applyFill="1" applyAlignment="1" applyProtection="1">
      <alignment horizontal="center" vertical="center"/>
      <protection locked="0"/>
    </xf>
    <xf numFmtId="0" fontId="50" fillId="6" borderId="0" xfId="0" applyFont="1" applyFill="1" applyAlignment="1" applyProtection="1">
      <alignment vertical="center"/>
      <protection locked="0"/>
    </xf>
    <xf numFmtId="0" fontId="12" fillId="2" borderId="55" xfId="0" applyFont="1" applyFill="1" applyBorder="1" applyAlignment="1">
      <alignment vertical="center"/>
    </xf>
    <xf numFmtId="0" fontId="13" fillId="6" borderId="56" xfId="1" applyFont="1" applyFill="1" applyBorder="1" applyAlignment="1" applyProtection="1">
      <alignment vertical="center"/>
      <protection locked="0"/>
    </xf>
    <xf numFmtId="0" fontId="13" fillId="3" borderId="56" xfId="1" applyFont="1" applyFill="1" applyBorder="1" applyAlignment="1" applyProtection="1">
      <alignment vertical="center"/>
      <protection locked="0"/>
    </xf>
    <xf numFmtId="0" fontId="12" fillId="3" borderId="57" xfId="0" applyFont="1" applyFill="1" applyBorder="1" applyAlignment="1">
      <alignment vertical="center"/>
    </xf>
    <xf numFmtId="0" fontId="12" fillId="6" borderId="56" xfId="0" applyFont="1" applyFill="1" applyBorder="1" applyAlignment="1">
      <alignment vertical="center"/>
    </xf>
    <xf numFmtId="0" fontId="12" fillId="8" borderId="57" xfId="0" applyFont="1" applyFill="1" applyBorder="1" applyAlignment="1">
      <alignment vertical="center"/>
    </xf>
    <xf numFmtId="0" fontId="13" fillId="2" borderId="30" xfId="1" applyFont="1" applyFill="1" applyBorder="1" applyAlignment="1">
      <alignment vertical="center"/>
    </xf>
    <xf numFmtId="164" fontId="13" fillId="2" borderId="66" xfId="1" applyNumberFormat="1" applyFont="1" applyFill="1" applyBorder="1" applyAlignment="1">
      <alignment vertical="center"/>
    </xf>
    <xf numFmtId="164" fontId="13" fillId="2" borderId="72" xfId="1" applyNumberFormat="1" applyFont="1" applyFill="1" applyBorder="1" applyAlignment="1">
      <alignment vertical="center"/>
    </xf>
    <xf numFmtId="164" fontId="13" fillId="2" borderId="70" xfId="1" applyNumberFormat="1" applyFont="1" applyFill="1" applyBorder="1" applyAlignment="1">
      <alignment vertical="center"/>
    </xf>
    <xf numFmtId="164" fontId="13" fillId="2" borderId="30" xfId="1" applyNumberFormat="1" applyFont="1" applyFill="1" applyBorder="1" applyAlignment="1">
      <alignment vertical="center"/>
    </xf>
    <xf numFmtId="0" fontId="13" fillId="2" borderId="30" xfId="0" applyFont="1" applyFill="1" applyBorder="1" applyAlignment="1">
      <alignment vertical="center"/>
    </xf>
    <xf numFmtId="0" fontId="12" fillId="6" borderId="0" xfId="1" applyFill="1" applyAlignment="1">
      <alignment vertical="center"/>
    </xf>
    <xf numFmtId="0" fontId="13" fillId="6" borderId="0" xfId="1" applyFont="1" applyFill="1" applyAlignment="1">
      <alignment vertical="center"/>
    </xf>
    <xf numFmtId="0" fontId="11" fillId="6" borderId="0" xfId="1" applyFont="1" applyFill="1" applyAlignment="1">
      <alignment vertical="center"/>
    </xf>
    <xf numFmtId="164" fontId="14" fillId="6" borderId="28" xfId="0" applyNumberFormat="1" applyFont="1" applyFill="1" applyBorder="1" applyAlignment="1">
      <alignment vertical="center"/>
    </xf>
    <xf numFmtId="164" fontId="14" fillId="6" borderId="27" xfId="0" applyNumberFormat="1" applyFont="1" applyFill="1" applyBorder="1" applyAlignment="1">
      <alignment vertical="center"/>
    </xf>
    <xf numFmtId="166" fontId="12" fillId="9" borderId="0" xfId="138" applyNumberFormat="1" applyFont="1" applyFill="1" applyBorder="1" applyAlignment="1">
      <alignment horizontal="center"/>
    </xf>
    <xf numFmtId="165" fontId="12" fillId="8" borderId="8" xfId="83" applyNumberFormat="1" applyFont="1" applyFill="1" applyBorder="1" applyAlignment="1">
      <alignment horizontal="center"/>
    </xf>
    <xf numFmtId="165" fontId="0" fillId="8" borderId="0" xfId="83" applyNumberFormat="1" applyFont="1" applyFill="1" applyBorder="1" applyAlignment="1">
      <alignment horizontal="right"/>
    </xf>
    <xf numFmtId="0" fontId="18" fillId="0" borderId="0" xfId="0" applyFont="1" applyAlignment="1">
      <alignment vertical="center" wrapText="1"/>
    </xf>
    <xf numFmtId="0" fontId="18" fillId="0" borderId="8" xfId="0" applyFont="1" applyBorder="1" applyAlignment="1">
      <alignment vertical="center" wrapText="1"/>
    </xf>
    <xf numFmtId="0" fontId="14" fillId="6" borderId="0" xfId="1" applyFont="1" applyFill="1" applyAlignment="1" applyProtection="1">
      <alignment vertical="center" wrapText="1"/>
      <protection locked="0"/>
    </xf>
    <xf numFmtId="0" fontId="12" fillId="6" borderId="0" xfId="0" applyFont="1" applyFill="1"/>
    <xf numFmtId="166" fontId="0" fillId="8" borderId="0" xfId="138" applyNumberFormat="1" applyFont="1" applyFill="1" applyBorder="1"/>
    <xf numFmtId="9" fontId="0" fillId="9" borderId="0" xfId="83" applyFont="1" applyFill="1" applyBorder="1" applyAlignment="1">
      <alignment horizontal="right"/>
    </xf>
    <xf numFmtId="9" fontId="11" fillId="9" borderId="0" xfId="83" applyFont="1" applyFill="1" applyBorder="1" applyAlignment="1">
      <alignment horizontal="right"/>
    </xf>
    <xf numFmtId="168" fontId="0" fillId="6" borderId="0" xfId="0" applyNumberFormat="1" applyFill="1"/>
    <xf numFmtId="0" fontId="11" fillId="2" borderId="0" xfId="1" applyFont="1" applyFill="1" applyAlignment="1">
      <alignment horizontal="center" vertical="center"/>
    </xf>
    <xf numFmtId="9" fontId="11" fillId="2" borderId="0" xfId="6" applyFont="1" applyFill="1" applyBorder="1" applyAlignment="1">
      <alignment horizontal="center" vertical="center"/>
    </xf>
    <xf numFmtId="0" fontId="53" fillId="2" borderId="0" xfId="0" applyFont="1" applyFill="1" applyAlignment="1" applyProtection="1">
      <alignment horizontal="center" vertical="center" wrapText="1"/>
      <protection locked="0"/>
    </xf>
    <xf numFmtId="0" fontId="53" fillId="2" borderId="0" xfId="0" applyFont="1" applyFill="1" applyAlignment="1">
      <alignment horizontal="center" vertical="center" wrapText="1"/>
    </xf>
    <xf numFmtId="165" fontId="0" fillId="8" borderId="0" xfId="83" applyNumberFormat="1" applyFont="1" applyFill="1" applyBorder="1" applyAlignment="1">
      <alignment horizontal="center"/>
    </xf>
    <xf numFmtId="0" fontId="11" fillId="9" borderId="59" xfId="1" applyFont="1" applyFill="1" applyBorder="1" applyAlignment="1">
      <alignment horizontal="center" vertical="center"/>
    </xf>
    <xf numFmtId="9" fontId="11" fillId="9" borderId="59" xfId="83" applyFont="1" applyFill="1" applyBorder="1" applyAlignment="1">
      <alignment horizontal="center" vertical="center"/>
    </xf>
    <xf numFmtId="0" fontId="53" fillId="9" borderId="59" xfId="0" applyFont="1" applyFill="1" applyBorder="1" applyAlignment="1" applyProtection="1">
      <alignment horizontal="center" vertical="center" wrapText="1"/>
      <protection locked="0"/>
    </xf>
    <xf numFmtId="0" fontId="53" fillId="9" borderId="59" xfId="0" applyFont="1" applyFill="1" applyBorder="1" applyAlignment="1">
      <alignment horizontal="center" vertical="center" wrapText="1"/>
    </xf>
    <xf numFmtId="0" fontId="11" fillId="9" borderId="17" xfId="0" applyFont="1" applyFill="1" applyBorder="1"/>
    <xf numFmtId="0" fontId="11" fillId="9" borderId="10" xfId="0" applyFont="1" applyFill="1" applyBorder="1"/>
    <xf numFmtId="166" fontId="12" fillId="9" borderId="8" xfId="138" applyNumberFormat="1" applyFont="1" applyFill="1" applyBorder="1" applyAlignment="1">
      <alignment horizontal="center"/>
    </xf>
    <xf numFmtId="166" fontId="12" fillId="9" borderId="8" xfId="8" applyNumberFormat="1" applyFont="1" applyFill="1" applyBorder="1" applyAlignment="1">
      <alignment horizontal="center"/>
    </xf>
    <xf numFmtId="9" fontId="0" fillId="9" borderId="8" xfId="83" applyFont="1" applyFill="1" applyBorder="1" applyAlignment="1">
      <alignment horizontal="right"/>
    </xf>
    <xf numFmtId="166" fontId="11" fillId="9" borderId="8" xfId="8" applyNumberFormat="1" applyFont="1" applyFill="1" applyBorder="1"/>
    <xf numFmtId="9" fontId="11" fillId="9" borderId="8" xfId="83" applyFont="1" applyFill="1" applyBorder="1" applyAlignment="1">
      <alignment horizontal="right"/>
    </xf>
    <xf numFmtId="0" fontId="11" fillId="6" borderId="10" xfId="0" applyFont="1" applyFill="1" applyBorder="1"/>
    <xf numFmtId="0" fontId="0" fillId="6" borderId="58" xfId="0" applyFill="1" applyBorder="1"/>
    <xf numFmtId="0" fontId="0" fillId="6" borderId="11" xfId="0" applyFill="1" applyBorder="1"/>
    <xf numFmtId="0" fontId="11" fillId="3" borderId="10" xfId="0" applyFont="1" applyFill="1" applyBorder="1"/>
    <xf numFmtId="165" fontId="0" fillId="3" borderId="8" xfId="0" applyNumberFormat="1" applyFill="1" applyBorder="1" applyAlignment="1">
      <alignment horizontal="right"/>
    </xf>
    <xf numFmtId="9" fontId="11" fillId="2" borderId="9" xfId="83" applyFont="1" applyFill="1" applyBorder="1"/>
    <xf numFmtId="9" fontId="0" fillId="3" borderId="0" xfId="83" applyFont="1" applyFill="1" applyBorder="1" applyAlignment="1">
      <alignment horizontal="right"/>
    </xf>
    <xf numFmtId="167" fontId="0" fillId="3" borderId="0" xfId="83" applyNumberFormat="1" applyFont="1" applyFill="1" applyBorder="1" applyAlignment="1">
      <alignment horizontal="right"/>
    </xf>
    <xf numFmtId="9" fontId="0" fillId="3" borderId="0" xfId="6" applyFont="1" applyFill="1" applyBorder="1" applyAlignment="1">
      <alignment horizontal="right"/>
    </xf>
    <xf numFmtId="167" fontId="0" fillId="3" borderId="0" xfId="6" applyNumberFormat="1" applyFont="1" applyFill="1" applyBorder="1" applyAlignment="1">
      <alignment horizontal="right"/>
    </xf>
    <xf numFmtId="9" fontId="0" fillId="3" borderId="11" xfId="6" applyFont="1" applyFill="1" applyBorder="1" applyAlignment="1">
      <alignment horizontal="right"/>
    </xf>
    <xf numFmtId="167" fontId="0" fillId="3" borderId="8" xfId="6" applyNumberFormat="1" applyFont="1" applyFill="1" applyBorder="1" applyAlignment="1">
      <alignment horizontal="right"/>
    </xf>
    <xf numFmtId="0" fontId="11" fillId="3" borderId="17" xfId="0" applyFont="1" applyFill="1" applyBorder="1"/>
    <xf numFmtId="165" fontId="11" fillId="3" borderId="0" xfId="1" applyNumberFormat="1" applyFont="1" applyFill="1" applyAlignment="1">
      <alignment horizontal="center" vertical="center"/>
    </xf>
    <xf numFmtId="165" fontId="53" fillId="3" borderId="0" xfId="0" applyNumberFormat="1" applyFont="1" applyFill="1" applyAlignment="1">
      <alignment horizontal="center" vertical="center" wrapText="1"/>
    </xf>
    <xf numFmtId="166" fontId="12" fillId="8" borderId="0" xfId="138" applyNumberFormat="1" applyFont="1" applyFill="1" applyBorder="1" applyAlignment="1">
      <alignment horizontal="center"/>
    </xf>
    <xf numFmtId="0" fontId="11" fillId="2" borderId="8" xfId="0" applyFont="1" applyFill="1" applyBorder="1"/>
    <xf numFmtId="0" fontId="12" fillId="6" borderId="59" xfId="0" applyFont="1" applyFill="1" applyBorder="1"/>
    <xf numFmtId="9" fontId="0" fillId="6" borderId="58" xfId="83" applyFont="1" applyFill="1" applyBorder="1"/>
    <xf numFmtId="9" fontId="0" fillId="6" borderId="11" xfId="83" applyFont="1" applyFill="1" applyBorder="1"/>
    <xf numFmtId="166" fontId="0" fillId="8" borderId="61" xfId="138" applyNumberFormat="1" applyFont="1" applyFill="1" applyBorder="1"/>
    <xf numFmtId="9" fontId="0" fillId="3" borderId="61" xfId="83" applyFont="1" applyFill="1" applyBorder="1" applyAlignment="1">
      <alignment horizontal="right"/>
    </xf>
    <xf numFmtId="166" fontId="12" fillId="8" borderId="65" xfId="138" applyNumberFormat="1" applyFont="1" applyFill="1" applyBorder="1" applyAlignment="1">
      <alignment horizontal="center"/>
    </xf>
    <xf numFmtId="166" fontId="12" fillId="8" borderId="65" xfId="138" applyNumberFormat="1" applyFont="1" applyFill="1" applyBorder="1" applyAlignment="1">
      <alignment horizontal="center" vertical="center"/>
    </xf>
    <xf numFmtId="9" fontId="0" fillId="3" borderId="65" xfId="83" applyFont="1" applyFill="1" applyBorder="1" applyAlignment="1">
      <alignment horizontal="right"/>
    </xf>
    <xf numFmtId="166" fontId="0" fillId="8" borderId="65" xfId="138" applyNumberFormat="1" applyFont="1" applyFill="1" applyBorder="1"/>
    <xf numFmtId="166" fontId="0" fillId="8" borderId="5" xfId="138" applyNumberFormat="1" applyFont="1" applyFill="1" applyBorder="1"/>
    <xf numFmtId="9" fontId="0" fillId="3" borderId="5" xfId="83" applyFont="1" applyFill="1" applyBorder="1" applyAlignment="1">
      <alignment horizontal="right"/>
    </xf>
    <xf numFmtId="165" fontId="0" fillId="8" borderId="65" xfId="6" applyNumberFormat="1" applyFont="1" applyFill="1" applyBorder="1" applyAlignment="1">
      <alignment horizontal="right"/>
    </xf>
    <xf numFmtId="167" fontId="0" fillId="3" borderId="65" xfId="6" applyNumberFormat="1" applyFont="1" applyFill="1" applyBorder="1" applyAlignment="1">
      <alignment horizontal="right"/>
    </xf>
    <xf numFmtId="0" fontId="26" fillId="6" borderId="62" xfId="0" applyFont="1" applyFill="1" applyBorder="1" applyAlignment="1">
      <alignment vertical="center"/>
    </xf>
    <xf numFmtId="0" fontId="26" fillId="6" borderId="61" xfId="0" applyFont="1" applyFill="1" applyBorder="1" applyAlignment="1">
      <alignment vertical="center"/>
    </xf>
    <xf numFmtId="0" fontId="12" fillId="6" borderId="61" xfId="0" applyFont="1" applyFill="1" applyBorder="1"/>
    <xf numFmtId="0" fontId="0" fillId="6" borderId="61" xfId="0" applyFill="1" applyBorder="1"/>
    <xf numFmtId="0" fontId="0" fillId="6" borderId="63" xfId="0" applyFill="1" applyBorder="1"/>
    <xf numFmtId="0" fontId="0" fillId="6" borderId="64" xfId="0" applyFill="1" applyBorder="1"/>
    <xf numFmtId="0" fontId="0" fillId="6" borderId="56" xfId="0" applyFill="1" applyBorder="1"/>
    <xf numFmtId="0" fontId="12" fillId="6" borderId="64" xfId="0" applyFont="1" applyFill="1" applyBorder="1"/>
    <xf numFmtId="0" fontId="0" fillId="6" borderId="28" xfId="0" applyFill="1" applyBorder="1"/>
    <xf numFmtId="0" fontId="0" fillId="6" borderId="27" xfId="0" applyFill="1" applyBorder="1"/>
    <xf numFmtId="0" fontId="11" fillId="9" borderId="68" xfId="0" applyFont="1" applyFill="1" applyBorder="1"/>
    <xf numFmtId="0" fontId="0" fillId="9" borderId="72" xfId="0" applyFill="1" applyBorder="1"/>
    <xf numFmtId="0" fontId="11" fillId="2" borderId="72" xfId="1" applyFont="1" applyFill="1" applyBorder="1" applyAlignment="1">
      <alignment horizontal="center" vertical="center"/>
    </xf>
    <xf numFmtId="9" fontId="11" fillId="2" borderId="72" xfId="83" applyFont="1" applyFill="1" applyBorder="1" applyAlignment="1">
      <alignment horizontal="center" vertical="center"/>
    </xf>
    <xf numFmtId="0" fontId="53" fillId="2" borderId="72" xfId="0" applyFont="1" applyFill="1" applyBorder="1" applyAlignment="1" applyProtection="1">
      <alignment horizontal="center" vertical="center" wrapText="1"/>
      <protection locked="0"/>
    </xf>
    <xf numFmtId="0" fontId="53" fillId="2" borderId="72" xfId="0" applyFont="1" applyFill="1" applyBorder="1" applyAlignment="1">
      <alignment horizontal="center" vertical="center" wrapText="1"/>
    </xf>
    <xf numFmtId="0" fontId="12" fillId="6" borderId="68" xfId="0" applyFont="1" applyFill="1" applyBorder="1"/>
    <xf numFmtId="0" fontId="14" fillId="6" borderId="55" xfId="1" applyFont="1" applyFill="1" applyBorder="1" applyAlignment="1" applyProtection="1">
      <alignment vertical="center"/>
      <protection locked="0"/>
    </xf>
    <xf numFmtId="0" fontId="14" fillId="6" borderId="3" xfId="1" applyFont="1" applyFill="1" applyBorder="1" applyAlignment="1" applyProtection="1">
      <alignment vertical="center"/>
      <protection locked="0"/>
    </xf>
    <xf numFmtId="0" fontId="14" fillId="6" borderId="5" xfId="1" applyFont="1" applyFill="1" applyBorder="1" applyAlignment="1" applyProtection="1">
      <alignment vertical="center"/>
      <protection locked="0"/>
    </xf>
    <xf numFmtId="0" fontId="11" fillId="0" borderId="0" xfId="0" applyFont="1"/>
    <xf numFmtId="0" fontId="14" fillId="0" borderId="5" xfId="0" applyFont="1" applyBorder="1"/>
    <xf numFmtId="0" fontId="13" fillId="6" borderId="5" xfId="0" applyFont="1" applyFill="1" applyBorder="1" applyAlignment="1">
      <alignment vertical="center" wrapText="1"/>
    </xf>
    <xf numFmtId="0" fontId="13" fillId="6" borderId="0" xfId="0" applyFont="1" applyFill="1" applyAlignment="1">
      <alignment vertical="center" wrapText="1"/>
    </xf>
    <xf numFmtId="0" fontId="13" fillId="6" borderId="0" xfId="1" applyFont="1" applyFill="1" applyAlignment="1" applyProtection="1">
      <alignment horizontal="center" vertical="center" wrapText="1"/>
      <protection locked="0"/>
    </xf>
    <xf numFmtId="164" fontId="14" fillId="6" borderId="0" xfId="0" applyNumberFormat="1" applyFont="1" applyFill="1" applyAlignment="1">
      <alignment vertical="center"/>
    </xf>
    <xf numFmtId="164" fontId="17" fillId="9" borderId="64" xfId="0" applyNumberFormat="1" applyFont="1" applyFill="1" applyBorder="1" applyAlignment="1" applyProtection="1">
      <alignment horizontal="right" vertical="center" wrapText="1"/>
      <protection locked="0"/>
    </xf>
    <xf numFmtId="0" fontId="26" fillId="6" borderId="0" xfId="0" applyFont="1" applyFill="1" applyAlignment="1">
      <alignment vertical="center" wrapText="1"/>
    </xf>
    <xf numFmtId="0" fontId="13" fillId="6" borderId="59" xfId="1" applyFont="1" applyFill="1" applyBorder="1" applyAlignment="1" applyProtection="1">
      <alignment horizontal="left" vertical="center" wrapText="1"/>
      <protection locked="0"/>
    </xf>
    <xf numFmtId="0" fontId="13" fillId="6" borderId="8" xfId="1" applyFont="1" applyFill="1" applyBorder="1" applyAlignment="1" applyProtection="1">
      <alignment horizontal="left" vertical="center" wrapText="1"/>
      <protection locked="0"/>
    </xf>
    <xf numFmtId="0" fontId="13" fillId="6" borderId="0" xfId="1" applyFont="1" applyFill="1" applyAlignment="1" applyProtection="1">
      <alignment horizontal="left" vertical="center" wrapText="1"/>
      <protection locked="0"/>
    </xf>
    <xf numFmtId="0" fontId="13" fillId="6" borderId="0" xfId="1" applyFont="1" applyFill="1" applyAlignment="1" applyProtection="1">
      <alignment vertical="center" wrapText="1"/>
      <protection locked="0"/>
    </xf>
    <xf numFmtId="0" fontId="13" fillId="3" borderId="0" xfId="1" applyFont="1" applyFill="1" applyAlignment="1" applyProtection="1">
      <alignment vertical="center" wrapText="1"/>
      <protection locked="0"/>
    </xf>
    <xf numFmtId="0" fontId="14" fillId="6" borderId="0" xfId="1" applyFont="1" applyFill="1" applyAlignment="1" applyProtection="1">
      <alignment horizontal="left" vertical="center" wrapText="1"/>
      <protection locked="0"/>
    </xf>
    <xf numFmtId="0" fontId="14" fillId="3" borderId="0" xfId="1" applyFont="1" applyFill="1" applyAlignment="1" applyProtection="1">
      <alignment vertical="center" wrapText="1"/>
      <protection locked="0"/>
    </xf>
    <xf numFmtId="0" fontId="13" fillId="2" borderId="72" xfId="1" applyFont="1" applyFill="1" applyBorder="1" applyAlignment="1">
      <alignment vertical="center" wrapText="1"/>
    </xf>
    <xf numFmtId="0" fontId="12" fillId="6" borderId="0" xfId="1" applyFill="1" applyAlignment="1">
      <alignment vertical="center" wrapText="1"/>
    </xf>
    <xf numFmtId="0" fontId="12" fillId="6" borderId="0" xfId="0" applyFont="1" applyFill="1" applyAlignment="1">
      <alignment vertical="center" wrapText="1"/>
    </xf>
    <xf numFmtId="0" fontId="13" fillId="6" borderId="0" xfId="1" applyFont="1" applyFill="1" applyAlignment="1">
      <alignment horizontal="center" vertical="center" wrapText="1"/>
    </xf>
    <xf numFmtId="164" fontId="13" fillId="3" borderId="6" xfId="1" applyNumberFormat="1" applyFont="1" applyFill="1" applyBorder="1" applyAlignment="1" applyProtection="1">
      <alignment horizontal="center" vertical="center"/>
      <protection locked="0"/>
    </xf>
    <xf numFmtId="164" fontId="13" fillId="6" borderId="0" xfId="1" applyNumberFormat="1" applyFont="1" applyFill="1" applyAlignment="1" applyProtection="1">
      <alignment horizontal="right" vertical="center"/>
      <protection locked="0"/>
    </xf>
    <xf numFmtId="9" fontId="11" fillId="9" borderId="71" xfId="6" applyFont="1" applyFill="1" applyBorder="1" applyAlignment="1">
      <alignment horizontal="center" vertical="center"/>
    </xf>
    <xf numFmtId="9" fontId="0" fillId="3" borderId="38" xfId="6" applyFont="1" applyFill="1" applyBorder="1" applyAlignment="1">
      <alignment horizontal="right"/>
    </xf>
    <xf numFmtId="9" fontId="0" fillId="3" borderId="69" xfId="6" applyFont="1" applyFill="1" applyBorder="1" applyAlignment="1">
      <alignment horizontal="right"/>
    </xf>
    <xf numFmtId="9" fontId="0" fillId="3" borderId="26" xfId="6" applyFont="1" applyFill="1" applyBorder="1" applyAlignment="1">
      <alignment horizontal="right"/>
    </xf>
    <xf numFmtId="9" fontId="0" fillId="9" borderId="69" xfId="6" applyFont="1" applyFill="1" applyBorder="1" applyAlignment="1">
      <alignment horizontal="right"/>
    </xf>
    <xf numFmtId="9" fontId="0" fillId="9" borderId="9" xfId="6" applyFont="1" applyFill="1" applyBorder="1" applyAlignment="1">
      <alignment horizontal="right"/>
    </xf>
    <xf numFmtId="0" fontId="0" fillId="9" borderId="58" xfId="0" applyFill="1" applyBorder="1"/>
    <xf numFmtId="9" fontId="11" fillId="2" borderId="58" xfId="6" applyFont="1" applyFill="1" applyBorder="1" applyAlignment="1">
      <alignment horizontal="center" vertical="center"/>
    </xf>
    <xf numFmtId="9" fontId="0" fillId="3" borderId="9" xfId="6" applyFont="1" applyFill="1" applyBorder="1" applyAlignment="1">
      <alignment horizontal="right"/>
    </xf>
    <xf numFmtId="0" fontId="0" fillId="6" borderId="9" xfId="0" applyFill="1" applyBorder="1"/>
    <xf numFmtId="9" fontId="11" fillId="9" borderId="18" xfId="6" applyFont="1" applyFill="1" applyBorder="1" applyAlignment="1">
      <alignment horizontal="center" vertical="center"/>
    </xf>
    <xf numFmtId="9" fontId="0" fillId="3" borderId="23" xfId="6" applyFont="1" applyFill="1" applyBorder="1" applyAlignment="1">
      <alignment horizontal="right"/>
    </xf>
    <xf numFmtId="165" fontId="0" fillId="3" borderId="17" xfId="6" applyNumberFormat="1" applyFont="1" applyFill="1" applyBorder="1" applyAlignment="1">
      <alignment horizontal="right"/>
    </xf>
    <xf numFmtId="9" fontId="0" fillId="3" borderId="24" xfId="6" applyFont="1" applyFill="1" applyBorder="1" applyAlignment="1">
      <alignment horizontal="right"/>
    </xf>
    <xf numFmtId="9" fontId="0" fillId="3" borderId="17" xfId="6" applyFont="1" applyFill="1" applyBorder="1" applyAlignment="1">
      <alignment horizontal="right"/>
    </xf>
    <xf numFmtId="167" fontId="0" fillId="3" borderId="21" xfId="6" applyNumberFormat="1" applyFont="1" applyFill="1" applyBorder="1" applyAlignment="1">
      <alignment horizontal="right"/>
    </xf>
    <xf numFmtId="9" fontId="0" fillId="3" borderId="21" xfId="6" applyFont="1" applyFill="1" applyBorder="1" applyAlignment="1">
      <alignment horizontal="right"/>
    </xf>
    <xf numFmtId="9" fontId="11" fillId="9" borderId="17" xfId="6" applyFont="1" applyFill="1" applyBorder="1" applyAlignment="1">
      <alignment horizontal="right"/>
    </xf>
    <xf numFmtId="9" fontId="11" fillId="9" borderId="10" xfId="6" applyFont="1" applyFill="1" applyBorder="1" applyAlignment="1">
      <alignment horizontal="right"/>
    </xf>
    <xf numFmtId="0" fontId="0" fillId="9" borderId="59" xfId="0" applyFill="1" applyBorder="1"/>
    <xf numFmtId="9" fontId="11" fillId="2" borderId="18" xfId="6" applyFont="1" applyFill="1" applyBorder="1" applyAlignment="1">
      <alignment horizontal="center" vertical="center"/>
    </xf>
    <xf numFmtId="167" fontId="0" fillId="3" borderId="17" xfId="6" applyNumberFormat="1" applyFont="1" applyFill="1" applyBorder="1" applyAlignment="1">
      <alignment horizontal="right"/>
    </xf>
    <xf numFmtId="167" fontId="0" fillId="3" borderId="10" xfId="6" applyNumberFormat="1" applyFont="1" applyFill="1" applyBorder="1" applyAlignment="1">
      <alignment horizontal="right"/>
    </xf>
    <xf numFmtId="9" fontId="11" fillId="2" borderId="68" xfId="6" applyFont="1" applyFill="1" applyBorder="1" applyAlignment="1">
      <alignment horizontal="center" vertical="center"/>
    </xf>
    <xf numFmtId="0" fontId="24" fillId="0" borderId="57" xfId="1" applyFont="1" applyBorder="1" applyAlignment="1">
      <alignment horizontal="left" vertical="top" wrapText="1"/>
    </xf>
    <xf numFmtId="0" fontId="13" fillId="0" borderId="57" xfId="1" applyFont="1" applyBorder="1" applyAlignment="1">
      <alignment horizontal="left" vertical="top" wrapText="1"/>
    </xf>
    <xf numFmtId="0" fontId="41" fillId="0" borderId="1" xfId="1" applyFont="1" applyBorder="1" applyAlignment="1">
      <alignment horizontal="left" vertical="center" wrapText="1"/>
    </xf>
    <xf numFmtId="0" fontId="13" fillId="6" borderId="0" xfId="1" applyFont="1" applyFill="1" applyAlignment="1">
      <alignment vertical="center" wrapText="1"/>
    </xf>
    <xf numFmtId="0" fontId="14" fillId="6" borderId="27" xfId="1" applyFont="1" applyFill="1" applyBorder="1" applyAlignment="1">
      <alignment vertical="center" wrapText="1"/>
    </xf>
    <xf numFmtId="0" fontId="41" fillId="0" borderId="55" xfId="1" applyFont="1" applyBorder="1" applyAlignment="1">
      <alignment horizontal="left" vertical="top" wrapText="1"/>
    </xf>
    <xf numFmtId="0" fontId="69" fillId="0" borderId="1" xfId="1" applyFont="1" applyBorder="1" applyAlignment="1">
      <alignment horizontal="left" vertical="top" wrapText="1"/>
    </xf>
    <xf numFmtId="0" fontId="41" fillId="0" borderId="57" xfId="1" applyFont="1" applyBorder="1" applyAlignment="1">
      <alignment horizontal="left" vertical="top" wrapText="1"/>
    </xf>
    <xf numFmtId="0" fontId="41" fillId="0" borderId="2" xfId="1" applyFont="1" applyBorder="1" applyAlignment="1">
      <alignment horizontal="left" vertical="top" wrapText="1"/>
    </xf>
    <xf numFmtId="0" fontId="17" fillId="0" borderId="55" xfId="0" applyFont="1" applyBorder="1" applyAlignment="1">
      <alignment vertical="center" wrapText="1"/>
    </xf>
    <xf numFmtId="0" fontId="17" fillId="0" borderId="4" xfId="0" applyFont="1" applyBorder="1" applyAlignment="1">
      <alignment vertical="center" wrapText="1"/>
    </xf>
    <xf numFmtId="0" fontId="72" fillId="0" borderId="1" xfId="0" applyFont="1" applyBorder="1"/>
    <xf numFmtId="0" fontId="72" fillId="0" borderId="0" xfId="0" applyFont="1"/>
    <xf numFmtId="0" fontId="13" fillId="0" borderId="2" xfId="0" applyFont="1" applyBorder="1"/>
    <xf numFmtId="0" fontId="14" fillId="0" borderId="55" xfId="0" applyFont="1" applyBorder="1"/>
    <xf numFmtId="165" fontId="14" fillId="0" borderId="55" xfId="83" applyNumberFormat="1" applyFont="1" applyBorder="1"/>
    <xf numFmtId="0" fontId="74" fillId="0" borderId="0" xfId="0" applyFont="1"/>
    <xf numFmtId="0" fontId="73" fillId="0" borderId="1" xfId="0" applyFont="1" applyBorder="1" applyAlignment="1">
      <alignment horizontal="center"/>
    </xf>
    <xf numFmtId="0" fontId="73" fillId="0" borderId="2" xfId="0" applyFont="1" applyBorder="1" applyAlignment="1">
      <alignment horizontal="center"/>
    </xf>
    <xf numFmtId="0" fontId="73" fillId="0" borderId="0" xfId="0" applyFont="1"/>
    <xf numFmtId="0" fontId="12" fillId="0" borderId="55" xfId="0" applyFont="1" applyBorder="1" applyAlignment="1">
      <alignment wrapText="1"/>
    </xf>
    <xf numFmtId="0" fontId="14" fillId="6" borderId="1" xfId="1" applyFont="1" applyFill="1" applyBorder="1" applyAlignment="1">
      <alignment vertical="center" wrapText="1"/>
    </xf>
    <xf numFmtId="0" fontId="15" fillId="0" borderId="0" xfId="0" applyFont="1" applyAlignment="1">
      <alignment horizontal="left" vertical="center"/>
    </xf>
    <xf numFmtId="0" fontId="26" fillId="0" borderId="0" xfId="1" applyFont="1" applyAlignment="1">
      <alignment horizontal="left" vertical="center"/>
    </xf>
    <xf numFmtId="0" fontId="28" fillId="0" borderId="0" xfId="12" applyFont="1" applyAlignment="1">
      <alignment horizontal="left"/>
    </xf>
    <xf numFmtId="0" fontId="26" fillId="6" borderId="0" xfId="0" applyFont="1" applyFill="1" applyAlignment="1">
      <alignment horizontal="left" vertical="center"/>
    </xf>
    <xf numFmtId="0" fontId="13" fillId="6" borderId="0" xfId="1" applyFont="1" applyFill="1" applyAlignment="1">
      <alignment horizontal="left" vertical="center" wrapText="1"/>
    </xf>
    <xf numFmtId="0" fontId="30" fillId="5" borderId="15" xfId="0" applyFont="1" applyFill="1" applyBorder="1" applyAlignment="1">
      <alignment horizontal="center" vertical="center" wrapText="1"/>
    </xf>
    <xf numFmtId="0" fontId="11" fillId="2" borderId="55" xfId="0" applyFont="1" applyFill="1" applyBorder="1" applyAlignment="1">
      <alignment horizontal="center" vertical="center"/>
    </xf>
    <xf numFmtId="0" fontId="12" fillId="6" borderId="32" xfId="0" applyFont="1" applyFill="1" applyBorder="1" applyAlignment="1">
      <alignment horizontal="left" vertical="center" wrapText="1"/>
    </xf>
    <xf numFmtId="0" fontId="12" fillId="6" borderId="0" xfId="0" applyFont="1" applyFill="1" applyAlignment="1">
      <alignment horizontal="left" vertical="center" wrapText="1"/>
    </xf>
    <xf numFmtId="0" fontId="14" fillId="6" borderId="65" xfId="1" applyFont="1" applyFill="1" applyBorder="1" applyAlignment="1" applyProtection="1">
      <alignment vertical="center" wrapText="1"/>
      <protection locked="0"/>
    </xf>
    <xf numFmtId="0" fontId="14" fillId="6" borderId="5" xfId="1" applyFont="1" applyFill="1" applyBorder="1" applyAlignment="1" applyProtection="1">
      <alignment vertical="center" wrapText="1"/>
      <protection locked="0"/>
    </xf>
    <xf numFmtId="0" fontId="12" fillId="8" borderId="55" xfId="0" applyFont="1" applyFill="1" applyBorder="1" applyAlignment="1">
      <alignment vertical="center" wrapText="1"/>
    </xf>
    <xf numFmtId="0" fontId="12" fillId="8" borderId="2" xfId="0" applyFont="1" applyFill="1" applyBorder="1" applyAlignment="1">
      <alignment vertical="center" wrapText="1"/>
    </xf>
    <xf numFmtId="10" fontId="13" fillId="6" borderId="7" xfId="1" applyNumberFormat="1" applyFont="1" applyFill="1" applyBorder="1" applyAlignment="1" applyProtection="1">
      <alignment horizontal="right" vertical="center"/>
      <protection locked="0"/>
    </xf>
    <xf numFmtId="0" fontId="38" fillId="0" borderId="0" xfId="0" applyFont="1" applyAlignment="1">
      <alignment horizontal="left" vertical="center"/>
    </xf>
    <xf numFmtId="0" fontId="22" fillId="0" borderId="0" xfId="0" applyFont="1" applyAlignment="1">
      <alignment horizontal="left" vertical="center"/>
    </xf>
    <xf numFmtId="0" fontId="15" fillId="0" borderId="0" xfId="0" applyFont="1" applyAlignment="1">
      <alignment horizontal="left" vertical="center"/>
    </xf>
    <xf numFmtId="0" fontId="22" fillId="0" borderId="0" xfId="0" applyFont="1" applyAlignment="1">
      <alignment horizontal="right" vertical="center"/>
    </xf>
    <xf numFmtId="0" fontId="21" fillId="0" borderId="14" xfId="0" applyFont="1" applyBorder="1" applyAlignment="1">
      <alignment horizontal="left" vertical="center"/>
    </xf>
    <xf numFmtId="0" fontId="21" fillId="0" borderId="15" xfId="0" applyFont="1" applyBorder="1" applyAlignment="1">
      <alignment horizontal="left" vertical="center"/>
    </xf>
    <xf numFmtId="0" fontId="21" fillId="0" borderId="13" xfId="0" applyFont="1" applyBorder="1" applyAlignment="1">
      <alignment horizontal="left" vertical="center"/>
    </xf>
    <xf numFmtId="0" fontId="22" fillId="0" borderId="11" xfId="0" applyFont="1" applyBorder="1" applyAlignment="1">
      <alignment horizontal="left" vertical="center"/>
    </xf>
    <xf numFmtId="49" fontId="21" fillId="0" borderId="10" xfId="0" applyNumberFormat="1" applyFont="1" applyBorder="1" applyAlignment="1">
      <alignment horizontal="left" vertical="center"/>
    </xf>
    <xf numFmtId="49" fontId="21" fillId="0" borderId="8" xfId="0" applyNumberFormat="1" applyFont="1" applyBorder="1" applyAlignment="1">
      <alignment horizontal="left" vertical="center"/>
    </xf>
    <xf numFmtId="49" fontId="21" fillId="0" borderId="9" xfId="0" applyNumberFormat="1" applyFont="1" applyBorder="1" applyAlignment="1">
      <alignment horizontal="left" vertical="center"/>
    </xf>
    <xf numFmtId="0" fontId="36" fillId="0" borderId="14" xfId="7" applyBorder="1" applyAlignment="1">
      <alignment horizontal="left" vertical="center"/>
    </xf>
    <xf numFmtId="0" fontId="22" fillId="0" borderId="14" xfId="0" applyFont="1" applyBorder="1" applyAlignment="1">
      <alignment horizontal="left" vertical="center"/>
    </xf>
    <xf numFmtId="0" fontId="22" fillId="0" borderId="15" xfId="0" applyFont="1" applyBorder="1" applyAlignment="1">
      <alignment horizontal="left" vertical="center"/>
    </xf>
    <xf numFmtId="0" fontId="22" fillId="0" borderId="13" xfId="0" applyFont="1" applyBorder="1" applyAlignment="1">
      <alignment horizontal="left" vertical="center"/>
    </xf>
    <xf numFmtId="0" fontId="51" fillId="2" borderId="62" xfId="0" applyFont="1" applyFill="1" applyBorder="1" applyAlignment="1">
      <alignment horizontal="center" wrapText="1"/>
    </xf>
    <xf numFmtId="0" fontId="51" fillId="2" borderId="61" xfId="0" applyFont="1" applyFill="1" applyBorder="1" applyAlignment="1">
      <alignment horizontal="center" wrapText="1"/>
    </xf>
    <xf numFmtId="0" fontId="51" fillId="2" borderId="63" xfId="0" applyFont="1" applyFill="1" applyBorder="1" applyAlignment="1">
      <alignment horizontal="center" wrapText="1"/>
    </xf>
    <xf numFmtId="0" fontId="17" fillId="2" borderId="3" xfId="0" applyFont="1" applyFill="1" applyBorder="1" applyAlignment="1">
      <alignment horizontal="center" wrapText="1"/>
    </xf>
    <xf numFmtId="0" fontId="17" fillId="2" borderId="5" xfId="0" applyFont="1" applyFill="1" applyBorder="1" applyAlignment="1">
      <alignment horizontal="center" wrapText="1"/>
    </xf>
    <xf numFmtId="0" fontId="17" fillId="2" borderId="4" xfId="0" applyFont="1" applyFill="1" applyBorder="1" applyAlignment="1">
      <alignment horizontal="center" wrapText="1"/>
    </xf>
    <xf numFmtId="0" fontId="35" fillId="6" borderId="17" xfId="0" applyFont="1" applyFill="1" applyBorder="1" applyAlignment="1">
      <alignment horizontal="left" vertical="center" wrapText="1"/>
    </xf>
    <xf numFmtId="0" fontId="35" fillId="6" borderId="0" xfId="0" applyFont="1" applyFill="1" applyAlignment="1">
      <alignment horizontal="left" vertical="center" wrapText="1"/>
    </xf>
    <xf numFmtId="0" fontId="26" fillId="0" borderId="0" xfId="1" applyFont="1" applyAlignment="1">
      <alignment horizontal="left" vertical="center"/>
    </xf>
    <xf numFmtId="0" fontId="11" fillId="2" borderId="55" xfId="1" applyFont="1" applyFill="1" applyBorder="1" applyAlignment="1">
      <alignment horizontal="center" vertical="center"/>
    </xf>
    <xf numFmtId="0" fontId="17" fillId="0" borderId="3" xfId="1" applyFont="1" applyBorder="1" applyAlignment="1">
      <alignment horizontal="left" vertical="center" wrapText="1"/>
    </xf>
    <xf numFmtId="0" fontId="17" fillId="0" borderId="5" xfId="1" applyFont="1" applyBorder="1" applyAlignment="1">
      <alignment horizontal="left" vertical="center" wrapText="1"/>
    </xf>
    <xf numFmtId="0" fontId="17" fillId="0" borderId="4" xfId="1" applyFont="1" applyBorder="1" applyAlignment="1">
      <alignment horizontal="left" vertical="center" wrapText="1"/>
    </xf>
    <xf numFmtId="0" fontId="14" fillId="0" borderId="3" xfId="0" applyFont="1" applyBorder="1" applyAlignment="1">
      <alignment horizontal="left" vertical="center" wrapText="1"/>
    </xf>
    <xf numFmtId="0" fontId="14" fillId="0" borderId="5" xfId="0" applyFont="1" applyBorder="1" applyAlignment="1">
      <alignment horizontal="left" vertical="center" wrapText="1"/>
    </xf>
    <xf numFmtId="0" fontId="14" fillId="0" borderId="4" xfId="0" applyFont="1" applyBorder="1" applyAlignment="1">
      <alignment horizontal="left" vertical="center" wrapText="1"/>
    </xf>
    <xf numFmtId="165" fontId="16" fillId="0" borderId="1" xfId="83" applyNumberFormat="1" applyFont="1" applyFill="1" applyBorder="1" applyAlignment="1">
      <alignment horizontal="center" vertical="center" wrapText="1"/>
    </xf>
    <xf numFmtId="165" fontId="16" fillId="0" borderId="57" xfId="83" applyNumberFormat="1" applyFont="1" applyFill="1" applyBorder="1" applyAlignment="1">
      <alignment horizontal="center" vertical="center" wrapText="1"/>
    </xf>
    <xf numFmtId="165" fontId="16" fillId="0" borderId="67" xfId="83" applyNumberFormat="1" applyFont="1" applyFill="1" applyBorder="1" applyAlignment="1">
      <alignment horizontal="center" vertical="center" wrapText="1"/>
    </xf>
    <xf numFmtId="0" fontId="16" fillId="0" borderId="3" xfId="12" applyFont="1" applyBorder="1" applyAlignment="1">
      <alignment horizontal="center" vertical="center" wrapText="1"/>
    </xf>
    <xf numFmtId="0" fontId="16" fillId="0" borderId="5" xfId="12" applyFont="1" applyBorder="1" applyAlignment="1">
      <alignment horizontal="center" vertical="center" wrapText="1"/>
    </xf>
    <xf numFmtId="0" fontId="16" fillId="0" borderId="4" xfId="12" applyFont="1" applyBorder="1" applyAlignment="1">
      <alignment horizontal="center" vertical="center" wrapText="1"/>
    </xf>
    <xf numFmtId="0" fontId="16" fillId="0" borderId="25" xfId="12" applyFont="1" applyBorder="1" applyAlignment="1">
      <alignment horizontal="center" vertical="center" wrapText="1"/>
    </xf>
    <xf numFmtId="0" fontId="16" fillId="0" borderId="12" xfId="12" applyFont="1" applyBorder="1" applyAlignment="1">
      <alignment horizontal="center" vertical="center" wrapText="1"/>
    </xf>
    <xf numFmtId="0" fontId="16" fillId="0" borderId="7" xfId="12" applyFont="1" applyBorder="1" applyAlignment="1">
      <alignment horizontal="center" vertical="center" wrapText="1"/>
    </xf>
    <xf numFmtId="0" fontId="11" fillId="0" borderId="18" xfId="1" applyFont="1" applyBorder="1" applyAlignment="1">
      <alignment horizontal="center" vertical="center"/>
    </xf>
    <xf numFmtId="0" fontId="11" fillId="0" borderId="58" xfId="1" applyFont="1" applyBorder="1" applyAlignment="1">
      <alignment horizontal="center" vertical="center"/>
    </xf>
    <xf numFmtId="0" fontId="11" fillId="0" borderId="10" xfId="1" applyFont="1" applyBorder="1" applyAlignment="1">
      <alignment horizontal="center" vertical="center"/>
    </xf>
    <xf numFmtId="0" fontId="11" fillId="0" borderId="9" xfId="1" applyFont="1" applyBorder="1" applyAlignment="1">
      <alignment horizontal="center" vertical="center"/>
    </xf>
    <xf numFmtId="0" fontId="16" fillId="0" borderId="55" xfId="12" applyFont="1" applyBorder="1" applyAlignment="1">
      <alignment horizontal="center" vertical="center" wrapText="1"/>
    </xf>
    <xf numFmtId="0" fontId="16" fillId="0" borderId="17" xfId="12" applyFont="1" applyBorder="1" applyAlignment="1">
      <alignment horizontal="center" vertical="center" wrapText="1"/>
    </xf>
    <xf numFmtId="0" fontId="16" fillId="0" borderId="10" xfId="12" applyFont="1" applyBorder="1" applyAlignment="1">
      <alignment horizontal="center" vertical="center" wrapText="1"/>
    </xf>
    <xf numFmtId="0" fontId="16" fillId="0" borderId="22" xfId="12" applyFont="1" applyBorder="1" applyAlignment="1">
      <alignment horizontal="center" vertical="center" wrapText="1"/>
    </xf>
    <xf numFmtId="0" fontId="16" fillId="0" borderId="19" xfId="12" applyFont="1" applyBorder="1" applyAlignment="1">
      <alignment horizontal="center" vertical="center" wrapText="1"/>
    </xf>
    <xf numFmtId="0" fontId="16" fillId="0" borderId="20" xfId="12" applyFont="1" applyBorder="1" applyAlignment="1">
      <alignment horizontal="center" vertical="center" wrapText="1"/>
    </xf>
    <xf numFmtId="0" fontId="12" fillId="0" borderId="59" xfId="1" applyBorder="1" applyAlignment="1">
      <alignment horizontal="center"/>
    </xf>
    <xf numFmtId="0" fontId="43" fillId="0" borderId="0" xfId="0" applyFont="1" applyAlignment="1">
      <alignment horizontal="left" vertical="center" wrapText="1"/>
    </xf>
    <xf numFmtId="0" fontId="14" fillId="0" borderId="59" xfId="1" applyFont="1" applyBorder="1" applyAlignment="1">
      <alignment horizontal="center"/>
    </xf>
    <xf numFmtId="0" fontId="22" fillId="0" borderId="0" xfId="1" applyFont="1" applyAlignment="1">
      <alignment horizontal="left" vertical="center"/>
    </xf>
    <xf numFmtId="0" fontId="11" fillId="0" borderId="59" xfId="1" applyFont="1" applyBorder="1" applyAlignment="1">
      <alignment horizontal="center" vertical="center"/>
    </xf>
    <xf numFmtId="0" fontId="11" fillId="0" borderId="8" xfId="1" applyFont="1" applyBorder="1" applyAlignment="1">
      <alignment horizontal="center" vertical="center"/>
    </xf>
    <xf numFmtId="0" fontId="17" fillId="0" borderId="59" xfId="1" applyFont="1" applyBorder="1" applyAlignment="1">
      <alignment horizontal="center" vertical="center" wrapText="1"/>
    </xf>
    <xf numFmtId="0" fontId="16" fillId="0" borderId="21" xfId="12" applyFont="1" applyBorder="1" applyAlignment="1">
      <alignment horizontal="center" vertical="center" wrapText="1"/>
    </xf>
    <xf numFmtId="0" fontId="16" fillId="0" borderId="23" xfId="12" applyFont="1" applyBorder="1" applyAlignment="1">
      <alignment horizontal="center" vertical="center" wrapText="1"/>
    </xf>
    <xf numFmtId="0" fontId="16" fillId="0" borderId="24" xfId="12" applyFont="1" applyBorder="1" applyAlignment="1">
      <alignment horizontal="center" vertical="center" wrapText="1"/>
    </xf>
    <xf numFmtId="0" fontId="16" fillId="0" borderId="60" xfId="12" applyFont="1" applyBorder="1" applyAlignment="1">
      <alignment horizontal="center" vertical="center" wrapText="1"/>
    </xf>
    <xf numFmtId="0" fontId="54" fillId="0" borderId="56" xfId="1" applyFont="1" applyBorder="1" applyAlignment="1">
      <alignment horizontal="left" vertical="center" wrapText="1"/>
    </xf>
    <xf numFmtId="0" fontId="54" fillId="0" borderId="0" xfId="1" applyFont="1" applyAlignment="1">
      <alignment horizontal="left" vertical="center" wrapText="1"/>
    </xf>
    <xf numFmtId="0" fontId="16" fillId="7" borderId="17" xfId="1" applyFont="1" applyFill="1" applyBorder="1" applyAlignment="1">
      <alignment horizontal="left" vertical="center" wrapText="1"/>
    </xf>
    <xf numFmtId="0" fontId="16" fillId="7" borderId="0" xfId="1" applyFont="1" applyFill="1" applyAlignment="1">
      <alignment horizontal="left" vertical="center" wrapText="1"/>
    </xf>
    <xf numFmtId="0" fontId="28" fillId="0" borderId="17" xfId="12" applyFont="1" applyBorder="1" applyAlignment="1">
      <alignment horizontal="left"/>
    </xf>
    <xf numFmtId="0" fontId="28" fillId="0" borderId="0" xfId="12" applyFont="1" applyAlignment="1">
      <alignment horizontal="left"/>
    </xf>
    <xf numFmtId="0" fontId="11" fillId="6" borderId="56" xfId="1" applyFont="1" applyFill="1" applyBorder="1" applyAlignment="1">
      <alignment horizontal="left" vertical="top" wrapText="1"/>
    </xf>
    <xf numFmtId="0" fontId="11" fillId="6" borderId="0" xfId="1" applyFont="1" applyFill="1" applyAlignment="1">
      <alignment horizontal="left" vertical="top" wrapText="1"/>
    </xf>
    <xf numFmtId="0" fontId="13" fillId="6" borderId="3" xfId="1" applyFont="1" applyFill="1" applyBorder="1" applyAlignment="1" applyProtection="1">
      <alignment horizontal="center" vertical="center" wrapText="1"/>
      <protection locked="0"/>
    </xf>
    <xf numFmtId="0" fontId="13" fillId="6" borderId="4" xfId="1" applyFont="1" applyFill="1" applyBorder="1" applyAlignment="1" applyProtection="1">
      <alignment horizontal="center" vertical="center" wrapText="1"/>
      <protection locked="0"/>
    </xf>
    <xf numFmtId="0" fontId="52" fillId="6" borderId="3" xfId="1" applyFont="1" applyFill="1" applyBorder="1" applyAlignment="1" applyProtection="1">
      <alignment horizontal="center" vertical="center"/>
      <protection locked="0"/>
    </xf>
    <xf numFmtId="0" fontId="52" fillId="6" borderId="5" xfId="1" applyFont="1" applyFill="1" applyBorder="1" applyAlignment="1" applyProtection="1">
      <alignment horizontal="center" vertical="center"/>
      <protection locked="0"/>
    </xf>
    <xf numFmtId="0" fontId="26" fillId="6" borderId="0" xfId="0" applyFont="1" applyFill="1" applyAlignment="1">
      <alignment horizontal="left" vertical="center"/>
    </xf>
    <xf numFmtId="0" fontId="75" fillId="6" borderId="0" xfId="1" applyFont="1" applyFill="1" applyAlignment="1">
      <alignment horizontal="left" vertical="center" wrapText="1"/>
    </xf>
    <xf numFmtId="0" fontId="13" fillId="6" borderId="0" xfId="1" applyFont="1" applyFill="1" applyAlignment="1">
      <alignment horizontal="left" vertical="center" wrapText="1"/>
    </xf>
    <xf numFmtId="0" fontId="13" fillId="6" borderId="8" xfId="1" applyFont="1" applyFill="1" applyBorder="1" applyAlignment="1">
      <alignment vertical="center" wrapText="1"/>
    </xf>
    <xf numFmtId="0" fontId="30" fillId="2" borderId="3"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1" xfId="0" applyFont="1" applyFill="1" applyBorder="1" applyAlignment="1">
      <alignment horizontal="center" vertical="center" wrapText="1"/>
    </xf>
    <xf numFmtId="0" fontId="30" fillId="2" borderId="2" xfId="0" applyFont="1" applyFill="1" applyBorder="1" applyAlignment="1">
      <alignment horizontal="center" vertical="center" wrapText="1"/>
    </xf>
    <xf numFmtId="164" fontId="13" fillId="6" borderId="3" xfId="1" applyNumberFormat="1" applyFont="1" applyFill="1" applyBorder="1" applyAlignment="1" applyProtection="1">
      <alignment horizontal="center" vertical="center"/>
      <protection locked="0"/>
    </xf>
    <xf numFmtId="164" fontId="13" fillId="6" borderId="5" xfId="1" applyNumberFormat="1" applyFont="1" applyFill="1" applyBorder="1" applyAlignment="1" applyProtection="1">
      <alignment horizontal="center" vertical="center"/>
      <protection locked="0"/>
    </xf>
    <xf numFmtId="164" fontId="13" fillId="6" borderId="4" xfId="1" applyNumberFormat="1" applyFont="1" applyFill="1" applyBorder="1" applyAlignment="1" applyProtection="1">
      <alignment horizontal="center" vertical="center"/>
      <protection locked="0"/>
    </xf>
    <xf numFmtId="0" fontId="11" fillId="9" borderId="18"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9" borderId="10" xfId="0" applyFont="1" applyFill="1" applyBorder="1" applyAlignment="1">
      <alignment horizontal="left" vertical="center" wrapText="1"/>
    </xf>
    <xf numFmtId="0" fontId="26" fillId="6" borderId="56" xfId="0" applyFont="1" applyFill="1" applyBorder="1" applyAlignment="1">
      <alignment horizontal="left" vertical="center"/>
    </xf>
    <xf numFmtId="0" fontId="11" fillId="6" borderId="8" xfId="0" applyFont="1" applyFill="1" applyBorder="1" applyAlignment="1">
      <alignment horizontal="center"/>
    </xf>
    <xf numFmtId="0" fontId="18" fillId="0" borderId="56" xfId="0" applyFont="1" applyBorder="1" applyAlignment="1">
      <alignment horizontal="left" vertical="center" wrapText="1"/>
    </xf>
    <xf numFmtId="0" fontId="18" fillId="0" borderId="0" xfId="0" applyFont="1" applyAlignment="1">
      <alignment horizontal="left" vertical="center" wrapText="1"/>
    </xf>
    <xf numFmtId="0" fontId="12" fillId="0" borderId="0" xfId="1" applyAlignment="1">
      <alignment horizontal="left"/>
    </xf>
    <xf numFmtId="0" fontId="30" fillId="5" borderId="14" xfId="0" applyFont="1" applyFill="1" applyBorder="1" applyAlignment="1">
      <alignment horizontal="center" vertical="center" wrapText="1"/>
    </xf>
    <xf numFmtId="0" fontId="30" fillId="5" borderId="15" xfId="0" applyFont="1" applyFill="1" applyBorder="1" applyAlignment="1">
      <alignment horizontal="center" vertical="center" wrapText="1"/>
    </xf>
    <xf numFmtId="0" fontId="30" fillId="5" borderId="6" xfId="0" applyFont="1" applyFill="1" applyBorder="1" applyAlignment="1">
      <alignment horizontal="center" vertical="center" wrapText="1"/>
    </xf>
    <xf numFmtId="0" fontId="30" fillId="5" borderId="12" xfId="0" applyFont="1" applyFill="1" applyBorder="1" applyAlignment="1">
      <alignment horizontal="center" vertical="center" wrapText="1"/>
    </xf>
    <xf numFmtId="0" fontId="30" fillId="5" borderId="48" xfId="0" applyFont="1" applyFill="1" applyBorder="1" applyAlignment="1">
      <alignment horizontal="center" vertical="center" wrapText="1"/>
    </xf>
    <xf numFmtId="0" fontId="26" fillId="0" borderId="0" xfId="0" applyFont="1" applyAlignment="1">
      <alignment horizontal="left" vertical="center"/>
    </xf>
    <xf numFmtId="0" fontId="11" fillId="2" borderId="6"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30" fillId="5" borderId="7" xfId="0" applyFont="1" applyFill="1" applyBorder="1" applyAlignment="1">
      <alignment horizontal="center" vertical="center" wrapText="1"/>
    </xf>
    <xf numFmtId="0" fontId="16" fillId="5" borderId="6" xfId="0" applyFont="1" applyFill="1" applyBorder="1" applyAlignment="1">
      <alignment horizontal="center" vertical="center" wrapText="1"/>
    </xf>
    <xf numFmtId="0" fontId="16" fillId="5" borderId="12" xfId="0" applyFont="1" applyFill="1" applyBorder="1" applyAlignment="1">
      <alignment horizontal="center" vertical="center" wrapText="1"/>
    </xf>
    <xf numFmtId="0" fontId="16" fillId="5" borderId="7" xfId="0" applyFont="1" applyFill="1" applyBorder="1" applyAlignment="1">
      <alignment horizontal="center" vertical="center" wrapText="1"/>
    </xf>
    <xf numFmtId="0" fontId="18" fillId="0" borderId="8" xfId="0" applyFont="1" applyBorder="1" applyAlignment="1">
      <alignment horizontal="left" vertical="center" wrapText="1"/>
    </xf>
    <xf numFmtId="0" fontId="11" fillId="2" borderId="33" xfId="0" applyFont="1" applyFill="1" applyBorder="1" applyAlignment="1">
      <alignment horizontal="center" vertical="center"/>
    </xf>
    <xf numFmtId="0" fontId="11" fillId="2" borderId="29" xfId="0" applyFont="1" applyFill="1" applyBorder="1" applyAlignment="1">
      <alignment horizontal="center" vertical="center"/>
    </xf>
    <xf numFmtId="0" fontId="11" fillId="2" borderId="30" xfId="0" applyFont="1" applyFill="1" applyBorder="1" applyAlignment="1">
      <alignment horizontal="center" vertical="center"/>
    </xf>
    <xf numFmtId="0" fontId="11" fillId="2" borderId="31" xfId="0" applyFont="1" applyFill="1" applyBorder="1" applyAlignment="1">
      <alignment horizontal="center" vertical="center"/>
    </xf>
    <xf numFmtId="0" fontId="20" fillId="0" borderId="37" xfId="0" applyFont="1" applyBorder="1" applyAlignment="1">
      <alignment horizontal="center" vertical="center"/>
    </xf>
    <xf numFmtId="0" fontId="20" fillId="0" borderId="15" xfId="0" applyFont="1" applyBorder="1" applyAlignment="1">
      <alignment horizontal="center" vertical="center"/>
    </xf>
    <xf numFmtId="0" fontId="11" fillId="2" borderId="32" xfId="0" applyFont="1" applyFill="1" applyBorder="1" applyAlignment="1">
      <alignment horizontal="center" vertical="center"/>
    </xf>
    <xf numFmtId="0" fontId="31" fillId="2" borderId="32" xfId="0" applyFont="1" applyFill="1" applyBorder="1" applyAlignment="1">
      <alignment horizontal="center" vertical="center"/>
    </xf>
    <xf numFmtId="0" fontId="11" fillId="2" borderId="55" xfId="0" applyFont="1" applyFill="1" applyBorder="1" applyAlignment="1">
      <alignment horizontal="center" vertical="center"/>
    </xf>
    <xf numFmtId="0" fontId="11" fillId="2" borderId="17" xfId="0" applyFont="1" applyFill="1" applyBorder="1" applyAlignment="1">
      <alignment horizontal="center" vertical="center"/>
    </xf>
    <xf numFmtId="0" fontId="31" fillId="2" borderId="10" xfId="0" applyFont="1" applyFill="1" applyBorder="1" applyAlignment="1">
      <alignment horizontal="center" vertical="center"/>
    </xf>
    <xf numFmtId="0" fontId="34" fillId="6" borderId="4" xfId="2" applyFont="1" applyFill="1" applyBorder="1" applyAlignment="1" applyProtection="1">
      <alignment horizontal="left" vertical="center"/>
    </xf>
    <xf numFmtId="0" fontId="34" fillId="6" borderId="55" xfId="2" applyFont="1" applyFill="1" applyBorder="1" applyAlignment="1" applyProtection="1">
      <alignment horizontal="left" vertical="center"/>
    </xf>
    <xf numFmtId="0" fontId="34" fillId="6" borderId="33" xfId="2" applyFont="1" applyFill="1" applyBorder="1" applyAlignment="1" applyProtection="1">
      <alignment horizontal="left" vertical="center"/>
    </xf>
    <xf numFmtId="0" fontId="34" fillId="6" borderId="27" xfId="2" applyFont="1" applyFill="1" applyBorder="1" applyAlignment="1" applyProtection="1">
      <alignment horizontal="left" vertical="center"/>
    </xf>
    <xf numFmtId="0" fontId="34" fillId="6" borderId="2" xfId="2" applyFont="1" applyFill="1" applyBorder="1" applyAlignment="1" applyProtection="1">
      <alignment horizontal="left" vertical="center"/>
    </xf>
    <xf numFmtId="0" fontId="34" fillId="6" borderId="41" xfId="2" applyFont="1" applyFill="1" applyBorder="1" applyAlignment="1" applyProtection="1">
      <alignment horizontal="left" vertical="center"/>
    </xf>
    <xf numFmtId="0" fontId="19" fillId="2" borderId="4" xfId="0" applyFont="1" applyFill="1" applyBorder="1" applyAlignment="1">
      <alignment horizontal="left" vertical="center"/>
    </xf>
    <xf numFmtId="0" fontId="19" fillId="2" borderId="55" xfId="0" applyFont="1" applyFill="1" applyBorder="1" applyAlignment="1">
      <alignment horizontal="left" vertical="center"/>
    </xf>
    <xf numFmtId="0" fontId="19" fillId="2" borderId="33" xfId="0" applyFont="1" applyFill="1" applyBorder="1" applyAlignment="1">
      <alignment horizontal="left" vertical="center"/>
    </xf>
    <xf numFmtId="0" fontId="12" fillId="2" borderId="4" xfId="2" applyFont="1" applyFill="1" applyBorder="1" applyAlignment="1" applyProtection="1">
      <alignment horizontal="left" vertical="center"/>
    </xf>
    <xf numFmtId="0" fontId="12" fillId="2" borderId="55" xfId="2" applyFont="1" applyFill="1" applyBorder="1" applyAlignment="1" applyProtection="1">
      <alignment horizontal="left" vertical="center"/>
    </xf>
    <xf numFmtId="0" fontId="12" fillId="2" borderId="33" xfId="2" applyFont="1" applyFill="1" applyBorder="1" applyAlignment="1" applyProtection="1">
      <alignment horizontal="left" vertical="center"/>
    </xf>
    <xf numFmtId="0" fontId="34" fillId="6" borderId="45" xfId="2" applyFont="1" applyFill="1" applyBorder="1" applyAlignment="1" applyProtection="1">
      <alignment horizontal="left" vertical="center"/>
    </xf>
    <xf numFmtId="0" fontId="34" fillId="6" borderId="35" xfId="2" applyFont="1" applyFill="1" applyBorder="1" applyAlignment="1" applyProtection="1">
      <alignment horizontal="left" vertical="center"/>
    </xf>
    <xf numFmtId="0" fontId="34" fillId="6" borderId="36" xfId="2" applyFont="1" applyFill="1" applyBorder="1" applyAlignment="1" applyProtection="1">
      <alignment horizontal="left" vertical="center"/>
    </xf>
    <xf numFmtId="0" fontId="34" fillId="0" borderId="4" xfId="2" applyFont="1" applyFill="1" applyBorder="1" applyAlignment="1" applyProtection="1">
      <alignment horizontal="left" vertical="center"/>
    </xf>
    <xf numFmtId="0" fontId="34" fillId="0" borderId="55" xfId="2" applyFont="1" applyFill="1" applyBorder="1" applyAlignment="1" applyProtection="1">
      <alignment horizontal="left" vertical="center"/>
    </xf>
    <xf numFmtId="0" fontId="34" fillId="0" borderId="33" xfId="2" applyFont="1" applyFill="1" applyBorder="1" applyAlignment="1" applyProtection="1">
      <alignment horizontal="left" vertical="center"/>
    </xf>
    <xf numFmtId="0" fontId="12" fillId="6" borderId="34" xfId="0" applyFont="1" applyFill="1" applyBorder="1" applyAlignment="1">
      <alignment horizontal="left" vertical="center" wrapText="1"/>
    </xf>
    <xf numFmtId="0" fontId="12" fillId="6" borderId="35" xfId="0" applyFont="1" applyFill="1" applyBorder="1" applyAlignment="1">
      <alignment horizontal="left" vertical="center" wrapText="1"/>
    </xf>
    <xf numFmtId="0" fontId="12" fillId="6" borderId="36" xfId="0" applyFont="1" applyFill="1" applyBorder="1" applyAlignment="1">
      <alignment horizontal="left" vertical="center" wrapText="1"/>
    </xf>
    <xf numFmtId="0" fontId="12" fillId="6" borderId="32" xfId="0" applyFont="1" applyFill="1" applyBorder="1" applyAlignment="1">
      <alignment horizontal="left" vertical="center" wrapText="1"/>
    </xf>
    <xf numFmtId="0" fontId="12" fillId="6" borderId="55" xfId="0" applyFont="1" applyFill="1" applyBorder="1" applyAlignment="1">
      <alignment horizontal="left" vertical="center" wrapText="1"/>
    </xf>
    <xf numFmtId="0" fontId="12" fillId="6" borderId="33" xfId="0" applyFont="1" applyFill="1" applyBorder="1" applyAlignment="1">
      <alignment horizontal="left" vertical="center" wrapText="1"/>
    </xf>
    <xf numFmtId="0" fontId="12" fillId="0" borderId="32" xfId="0" applyFont="1" applyBorder="1" applyAlignment="1">
      <alignment horizontal="left" vertical="center" indent="2"/>
    </xf>
    <xf numFmtId="0" fontId="12" fillId="0" borderId="55" xfId="0" applyFont="1" applyBorder="1" applyAlignment="1">
      <alignment horizontal="left" vertical="center" indent="2"/>
    </xf>
    <xf numFmtId="0" fontId="12" fillId="0" borderId="33" xfId="0" applyFont="1" applyBorder="1" applyAlignment="1">
      <alignment horizontal="left" vertical="center" indent="2"/>
    </xf>
    <xf numFmtId="0" fontId="12" fillId="6" borderId="32" xfId="0" applyFont="1" applyFill="1" applyBorder="1" applyAlignment="1">
      <alignment horizontal="left" vertical="center" indent="2"/>
    </xf>
    <xf numFmtId="0" fontId="12" fillId="6" borderId="55" xfId="0" applyFont="1" applyFill="1" applyBorder="1" applyAlignment="1">
      <alignment horizontal="left" vertical="center" indent="2"/>
    </xf>
    <xf numFmtId="0" fontId="12" fillId="6" borderId="33" xfId="0" applyFont="1" applyFill="1" applyBorder="1" applyAlignment="1">
      <alignment horizontal="left" vertical="center" indent="2"/>
    </xf>
    <xf numFmtId="0" fontId="11" fillId="2" borderId="26" xfId="0" applyFont="1" applyFill="1" applyBorder="1" applyAlignment="1">
      <alignment horizontal="center" vertical="center"/>
    </xf>
    <xf numFmtId="0" fontId="11" fillId="2" borderId="38" xfId="0" applyFont="1" applyFill="1" applyBorder="1" applyAlignment="1">
      <alignment horizontal="center" vertical="center"/>
    </xf>
    <xf numFmtId="0" fontId="11" fillId="2" borderId="39" xfId="0" applyFont="1" applyFill="1" applyBorder="1" applyAlignment="1">
      <alignment horizontal="center" vertical="center"/>
    </xf>
    <xf numFmtId="0" fontId="12" fillId="6" borderId="23" xfId="0" applyFont="1" applyFill="1" applyBorder="1" applyAlignment="1">
      <alignment horizontal="left" vertical="center" wrapText="1"/>
    </xf>
    <xf numFmtId="0" fontId="12" fillId="6" borderId="5" xfId="0" applyFont="1" applyFill="1" applyBorder="1" applyAlignment="1">
      <alignment horizontal="left" vertical="center" wrapText="1"/>
    </xf>
    <xf numFmtId="0" fontId="12" fillId="6" borderId="38" xfId="0" applyFont="1" applyFill="1" applyBorder="1" applyAlignment="1">
      <alignment horizontal="left" vertical="center" wrapText="1"/>
    </xf>
    <xf numFmtId="0" fontId="37" fillId="6" borderId="4" xfId="7" applyFont="1" applyFill="1" applyBorder="1" applyAlignment="1" applyProtection="1">
      <alignment horizontal="left" vertical="center"/>
    </xf>
    <xf numFmtId="0" fontId="37" fillId="6" borderId="55" xfId="7" applyFont="1" applyFill="1" applyBorder="1" applyAlignment="1" applyProtection="1">
      <alignment horizontal="left" vertical="center"/>
    </xf>
    <xf numFmtId="0" fontId="37" fillId="6" borderId="33" xfId="7" applyFont="1" applyFill="1" applyBorder="1" applyAlignment="1" applyProtection="1">
      <alignment horizontal="left" vertical="center"/>
    </xf>
    <xf numFmtId="0" fontId="37" fillId="6" borderId="27" xfId="7" applyFont="1" applyFill="1" applyBorder="1" applyAlignment="1" applyProtection="1">
      <alignment horizontal="left" vertical="center"/>
    </xf>
    <xf numFmtId="0" fontId="37" fillId="6" borderId="2" xfId="7" applyFont="1" applyFill="1" applyBorder="1" applyAlignment="1" applyProtection="1">
      <alignment horizontal="left" vertical="center"/>
    </xf>
    <xf numFmtId="0" fontId="37" fillId="6" borderId="41" xfId="7" applyFont="1" applyFill="1" applyBorder="1" applyAlignment="1" applyProtection="1">
      <alignment horizontal="left" vertical="center"/>
    </xf>
    <xf numFmtId="0" fontId="12" fillId="6" borderId="0" xfId="0" applyFont="1" applyFill="1" applyAlignment="1">
      <alignment horizontal="left" vertical="center" wrapText="1"/>
    </xf>
    <xf numFmtId="0" fontId="12" fillId="6" borderId="40" xfId="0" applyFont="1" applyFill="1" applyBorder="1" applyAlignment="1">
      <alignment horizontal="left" vertical="center" wrapText="1"/>
    </xf>
    <xf numFmtId="0" fontId="12" fillId="6" borderId="2" xfId="0" applyFont="1" applyFill="1" applyBorder="1" applyAlignment="1">
      <alignment horizontal="left" vertical="center" wrapText="1"/>
    </xf>
    <xf numFmtId="0" fontId="12" fillId="6" borderId="41" xfId="0" applyFont="1" applyFill="1" applyBorder="1" applyAlignment="1">
      <alignment horizontal="left" vertical="center" wrapText="1"/>
    </xf>
    <xf numFmtId="0" fontId="11" fillId="5" borderId="42" xfId="0" applyFont="1" applyFill="1" applyBorder="1" applyAlignment="1">
      <alignment horizontal="left" vertical="center"/>
    </xf>
    <xf numFmtId="0" fontId="11" fillId="5" borderId="43" xfId="0" applyFont="1" applyFill="1" applyBorder="1" applyAlignment="1">
      <alignment horizontal="left" vertical="center"/>
    </xf>
    <xf numFmtId="0" fontId="11" fillId="5" borderId="44" xfId="0" applyFont="1" applyFill="1" applyBorder="1" applyAlignment="1">
      <alignment horizontal="left" vertical="center"/>
    </xf>
    <xf numFmtId="0" fontId="12" fillId="0" borderId="40" xfId="0" applyFont="1" applyBorder="1" applyAlignment="1">
      <alignment horizontal="left" vertical="center"/>
    </xf>
    <xf numFmtId="0" fontId="12" fillId="0" borderId="2" xfId="0" applyFont="1" applyBorder="1" applyAlignment="1">
      <alignment horizontal="left" vertical="center"/>
    </xf>
    <xf numFmtId="0" fontId="12" fillId="0" borderId="41" xfId="0" applyFont="1" applyBorder="1" applyAlignment="1">
      <alignment horizontal="left" vertical="center"/>
    </xf>
    <xf numFmtId="14" fontId="11" fillId="5" borderId="46" xfId="0" applyNumberFormat="1" applyFont="1" applyFill="1" applyBorder="1" applyAlignment="1">
      <alignment horizontal="center" vertical="center"/>
    </xf>
    <xf numFmtId="14" fontId="11" fillId="5" borderId="43" xfId="0" applyNumberFormat="1" applyFont="1" applyFill="1" applyBorder="1" applyAlignment="1">
      <alignment horizontal="center" vertical="center"/>
    </xf>
    <xf numFmtId="14" fontId="11" fillId="5" borderId="44" xfId="0" applyNumberFormat="1" applyFont="1" applyFill="1" applyBorder="1" applyAlignment="1">
      <alignment horizontal="center" vertical="center"/>
    </xf>
    <xf numFmtId="0" fontId="32" fillId="0" borderId="29" xfId="0" applyFont="1" applyBorder="1" applyAlignment="1">
      <alignment horizontal="center" vertical="center"/>
    </xf>
    <xf numFmtId="0" fontId="32" fillId="0" borderId="30" xfId="0" applyFont="1" applyBorder="1" applyAlignment="1">
      <alignment horizontal="center" vertical="center"/>
    </xf>
    <xf numFmtId="0" fontId="32" fillId="0" borderId="31" xfId="0" applyFont="1" applyBorder="1" applyAlignment="1">
      <alignment horizontal="center" vertical="center"/>
    </xf>
    <xf numFmtId="0" fontId="11" fillId="2" borderId="1" xfId="0" applyFont="1" applyFill="1" applyBorder="1" applyAlignment="1">
      <alignment horizontal="center" vertical="center"/>
    </xf>
    <xf numFmtId="0" fontId="31" fillId="2" borderId="55" xfId="0" applyFont="1" applyFill="1" applyBorder="1" applyAlignment="1">
      <alignment horizontal="center" vertical="center"/>
    </xf>
  </cellXfs>
  <cellStyles count="139">
    <cellStyle name="Comma" xfId="138" builtinId="3"/>
    <cellStyle name="Comma 2" xfId="8" xr:uid="{00000000-0005-0000-0000-000000000000}"/>
    <cellStyle name="Comma 2 2" xfId="109" xr:uid="{00000000-0005-0000-0000-000001000000}"/>
    <cellStyle name="Comma 3" xfId="9" xr:uid="{00000000-0005-0000-0000-000002000000}"/>
    <cellStyle name="Comma 3 2" xfId="110" xr:uid="{00000000-0005-0000-0000-000003000000}"/>
    <cellStyle name="Comma 3 3" xfId="111" xr:uid="{00000000-0005-0000-0000-000004000000}"/>
    <cellStyle name="Comma 3 4" xfId="112" xr:uid="{00000000-0005-0000-0000-000005000000}"/>
    <cellStyle name="Comma 4" xfId="113" xr:uid="{00000000-0005-0000-0000-000006000000}"/>
    <cellStyle name="Comma 5" xfId="114" xr:uid="{00000000-0005-0000-0000-000007000000}"/>
    <cellStyle name="Currency 2" xfId="10" xr:uid="{00000000-0005-0000-0000-000008000000}"/>
    <cellStyle name="Currency 2 2" xfId="115" xr:uid="{00000000-0005-0000-0000-000009000000}"/>
    <cellStyle name="Followed Hyperlink" xfId="19" builtinId="9" hidden="1"/>
    <cellStyle name="Followed Hyperlink" xfId="78" builtinId="9" hidden="1"/>
    <cellStyle name="Followed Hyperlink" xfId="50" builtinId="9" hidden="1"/>
    <cellStyle name="Followed Hyperlink" xfId="62" builtinId="9" hidden="1"/>
    <cellStyle name="Followed Hyperlink" xfId="22" builtinId="9" hidden="1"/>
    <cellStyle name="Followed Hyperlink" xfId="36" builtinId="9" hidden="1"/>
    <cellStyle name="Followed Hyperlink" xfId="52" builtinId="9" hidden="1"/>
    <cellStyle name="Followed Hyperlink" xfId="33" builtinId="9" hidden="1"/>
    <cellStyle name="Followed Hyperlink" xfId="34" builtinId="9" hidden="1"/>
    <cellStyle name="Followed Hyperlink" xfId="23" builtinId="9" hidden="1"/>
    <cellStyle name="Followed Hyperlink" xfId="77" builtinId="9" hidden="1"/>
    <cellStyle name="Followed Hyperlink" xfId="21" builtinId="9" hidden="1"/>
    <cellStyle name="Followed Hyperlink" xfId="26" builtinId="9" hidden="1"/>
    <cellStyle name="Followed Hyperlink" xfId="73" builtinId="9" hidden="1"/>
    <cellStyle name="Followed Hyperlink" xfId="54" builtinId="9" hidden="1"/>
    <cellStyle name="Followed Hyperlink" xfId="40" builtinId="9" hidden="1"/>
    <cellStyle name="Followed Hyperlink" xfId="43" builtinId="9" hidden="1"/>
    <cellStyle name="Followed Hyperlink" xfId="42" builtinId="9" hidden="1"/>
    <cellStyle name="Followed Hyperlink" xfId="53" builtinId="9" hidden="1"/>
    <cellStyle name="Followed Hyperlink" xfId="15" builtinId="9" hidden="1"/>
    <cellStyle name="Followed Hyperlink" xfId="35" builtinId="9" hidden="1"/>
    <cellStyle name="Followed Hyperlink" xfId="37" builtinId="9" hidden="1"/>
    <cellStyle name="Followed Hyperlink" xfId="38" builtinId="9" hidden="1"/>
    <cellStyle name="Followed Hyperlink" xfId="20" builtinId="9" hidden="1"/>
    <cellStyle name="Followed Hyperlink" xfId="24" builtinId="9" hidden="1"/>
    <cellStyle name="Followed Hyperlink" xfId="28" builtinId="9" hidden="1"/>
    <cellStyle name="Followed Hyperlink" xfId="60" builtinId="9" hidden="1"/>
    <cellStyle name="Followed Hyperlink" xfId="49" builtinId="9" hidden="1"/>
    <cellStyle name="Followed Hyperlink" xfId="51" builtinId="9" hidden="1"/>
    <cellStyle name="Followed Hyperlink" xfId="59" builtinId="9" hidden="1"/>
    <cellStyle name="Followed Hyperlink" xfId="82" builtinId="9" hidden="1"/>
    <cellStyle name="Followed Hyperlink" xfId="47" builtinId="9" hidden="1"/>
    <cellStyle name="Followed Hyperlink" xfId="48" builtinId="9" hidden="1"/>
    <cellStyle name="Followed Hyperlink" xfId="79" builtinId="9" hidden="1"/>
    <cellStyle name="Followed Hyperlink" xfId="75" builtinId="9" hidden="1"/>
    <cellStyle name="Followed Hyperlink" xfId="16" builtinId="9" hidden="1"/>
    <cellStyle name="Followed Hyperlink" xfId="56" builtinId="9" hidden="1"/>
    <cellStyle name="Followed Hyperlink" xfId="39" builtinId="9" hidden="1"/>
    <cellStyle name="Followed Hyperlink" xfId="27" builtinId="9" hidden="1"/>
    <cellStyle name="Followed Hyperlink" xfId="64" builtinId="9" hidden="1"/>
    <cellStyle name="Followed Hyperlink" xfId="29" builtinId="9" hidden="1"/>
    <cellStyle name="Followed Hyperlink" xfId="31" builtinId="9" hidden="1"/>
    <cellStyle name="Followed Hyperlink" xfId="81" builtinId="9" hidden="1"/>
    <cellStyle name="Followed Hyperlink" xfId="66" builtinId="9" hidden="1"/>
    <cellStyle name="Followed Hyperlink" xfId="76" builtinId="9" hidden="1"/>
    <cellStyle name="Followed Hyperlink" xfId="18" builtinId="9" hidden="1"/>
    <cellStyle name="Followed Hyperlink" xfId="68" builtinId="9" hidden="1"/>
    <cellStyle name="Followed Hyperlink" xfId="41" builtinId="9" hidden="1"/>
    <cellStyle name="Followed Hyperlink" xfId="61" builtinId="9" hidden="1"/>
    <cellStyle name="Followed Hyperlink" xfId="55" builtinId="9" hidden="1"/>
    <cellStyle name="Followed Hyperlink" xfId="63" builtinId="9" hidden="1"/>
    <cellStyle name="Followed Hyperlink" xfId="72" builtinId="9" hidden="1"/>
    <cellStyle name="Followed Hyperlink" xfId="67" builtinId="9" hidden="1"/>
    <cellStyle name="Followed Hyperlink" xfId="65" builtinId="9" hidden="1"/>
    <cellStyle name="Followed Hyperlink" xfId="58" builtinId="9" hidden="1"/>
    <cellStyle name="Followed Hyperlink" xfId="44" builtinId="9" hidden="1"/>
    <cellStyle name="Followed Hyperlink" xfId="45" builtinId="9" hidden="1"/>
    <cellStyle name="Followed Hyperlink" xfId="71" builtinId="9" hidden="1"/>
    <cellStyle name="Followed Hyperlink" xfId="30" builtinId="9" hidden="1"/>
    <cellStyle name="Followed Hyperlink" xfId="69" builtinId="9" hidden="1"/>
    <cellStyle name="Followed Hyperlink" xfId="32" builtinId="9" hidden="1"/>
    <cellStyle name="Followed Hyperlink" xfId="74" builtinId="9" hidden="1"/>
    <cellStyle name="Followed Hyperlink" xfId="57" builtinId="9" hidden="1"/>
    <cellStyle name="Followed Hyperlink" xfId="17" builtinId="9" hidden="1"/>
    <cellStyle name="Followed Hyperlink" xfId="46" builtinId="9" hidden="1"/>
    <cellStyle name="Followed Hyperlink" xfId="70" builtinId="9" hidden="1"/>
    <cellStyle name="Followed Hyperlink" xfId="25" builtinId="9" hidden="1"/>
    <cellStyle name="Followed Hyperlink" xfId="80" builtinId="9" hidden="1"/>
    <cellStyle name="Hyperlink" xfId="7" builtinId="8"/>
    <cellStyle name="Hyperlink 2" xfId="2" xr:uid="{00000000-0005-0000-0000-00004F000000}"/>
    <cellStyle name="Hyperlink 2 2" xfId="11" xr:uid="{00000000-0005-0000-0000-000050000000}"/>
    <cellStyle name="Normal" xfId="0" builtinId="0"/>
    <cellStyle name="Normal 2" xfId="1" xr:uid="{00000000-0005-0000-0000-000052000000}"/>
    <cellStyle name="Normal 2 2" xfId="105" xr:uid="{00000000-0005-0000-0000-000053000000}"/>
    <cellStyle name="Normal 2 2 2" xfId="137" xr:uid="{00000000-0005-0000-0000-000054000000}"/>
    <cellStyle name="Normal 2 3" xfId="116" xr:uid="{00000000-0005-0000-0000-000055000000}"/>
    <cellStyle name="Normal 2 4" xfId="117" xr:uid="{00000000-0005-0000-0000-000056000000}"/>
    <cellStyle name="Normal 3" xfId="3" xr:uid="{00000000-0005-0000-0000-000057000000}"/>
    <cellStyle name="Normal 3 2" xfId="4" xr:uid="{00000000-0005-0000-0000-000058000000}"/>
    <cellStyle name="Normal 3 2 2" xfId="12" xr:uid="{00000000-0005-0000-0000-000059000000}"/>
    <cellStyle name="Normal 3 2 2 2" xfId="87" xr:uid="{00000000-0005-0000-0000-00005A000000}"/>
    <cellStyle name="Normal 3 2 2 2 2" xfId="100" xr:uid="{00000000-0005-0000-0000-00005B000000}"/>
    <cellStyle name="Normal 3 2 2 2 2 2" xfId="136" xr:uid="{00000000-0005-0000-0000-00005C000000}"/>
    <cellStyle name="Normal 3 2 2 3" xfId="94" xr:uid="{00000000-0005-0000-0000-00005D000000}"/>
    <cellStyle name="Normal 3 2 2 4" xfId="118" xr:uid="{00000000-0005-0000-0000-00005E000000}"/>
    <cellStyle name="Normal 3 2 2 6" xfId="134" xr:uid="{00000000-0005-0000-0000-00005F000000}"/>
    <cellStyle name="Normal 3 2 2 7" xfId="135" xr:uid="{00000000-0005-0000-0000-000060000000}"/>
    <cellStyle name="Normal 3 2 3" xfId="86" xr:uid="{00000000-0005-0000-0000-000061000000}"/>
    <cellStyle name="Normal 3 2 3 2" xfId="99" xr:uid="{00000000-0005-0000-0000-000062000000}"/>
    <cellStyle name="Normal 3 2 4" xfId="92" xr:uid="{00000000-0005-0000-0000-000063000000}"/>
    <cellStyle name="Normal 3 2 5" xfId="119" xr:uid="{00000000-0005-0000-0000-000064000000}"/>
    <cellStyle name="Normal 3 3" xfId="13" xr:uid="{00000000-0005-0000-0000-000065000000}"/>
    <cellStyle name="Normal 3 3 2" xfId="88" xr:uid="{00000000-0005-0000-0000-000066000000}"/>
    <cellStyle name="Normal 3 3 2 2" xfId="101" xr:uid="{00000000-0005-0000-0000-000067000000}"/>
    <cellStyle name="Normal 3 3 3" xfId="95" xr:uid="{00000000-0005-0000-0000-000068000000}"/>
    <cellStyle name="Normal 3 4" xfId="85" xr:uid="{00000000-0005-0000-0000-000069000000}"/>
    <cellStyle name="Normal 3 4 2" xfId="98" xr:uid="{00000000-0005-0000-0000-00006A000000}"/>
    <cellStyle name="Normal 3 5" xfId="91" xr:uid="{00000000-0005-0000-0000-00006B000000}"/>
    <cellStyle name="Normal 3 6" xfId="120" xr:uid="{00000000-0005-0000-0000-00006C000000}"/>
    <cellStyle name="Normal 4" xfId="5" xr:uid="{00000000-0005-0000-0000-00006D000000}"/>
    <cellStyle name="Normal 4 2" xfId="14" xr:uid="{00000000-0005-0000-0000-00006E000000}"/>
    <cellStyle name="Normal 4 2 2" xfId="90" xr:uid="{00000000-0005-0000-0000-00006F000000}"/>
    <cellStyle name="Normal 4 2 2 2" xfId="103" xr:uid="{00000000-0005-0000-0000-000070000000}"/>
    <cellStyle name="Normal 4 2 3" xfId="96" xr:uid="{00000000-0005-0000-0000-000071000000}"/>
    <cellStyle name="Normal 4 3" xfId="89" xr:uid="{00000000-0005-0000-0000-000072000000}"/>
    <cellStyle name="Normal 4 3 2" xfId="102" xr:uid="{00000000-0005-0000-0000-000073000000}"/>
    <cellStyle name="Normal 4 4" xfId="93" xr:uid="{00000000-0005-0000-0000-000074000000}"/>
    <cellStyle name="Normal 4 5" xfId="121" xr:uid="{00000000-0005-0000-0000-000075000000}"/>
    <cellStyle name="Normal 5" xfId="84" xr:uid="{00000000-0005-0000-0000-000076000000}"/>
    <cellStyle name="Normal 5 2" xfId="97" xr:uid="{00000000-0005-0000-0000-000077000000}"/>
    <cellStyle name="Normal 5 3" xfId="122" xr:uid="{00000000-0005-0000-0000-000078000000}"/>
    <cellStyle name="Normal 6" xfId="104" xr:uid="{00000000-0005-0000-0000-000079000000}"/>
    <cellStyle name="Normal 7" xfId="106" xr:uid="{00000000-0005-0000-0000-00007A000000}"/>
    <cellStyle name="Normal 7 2" xfId="107" xr:uid="{00000000-0005-0000-0000-00007B000000}"/>
    <cellStyle name="Normal 7 2 2" xfId="123" xr:uid="{00000000-0005-0000-0000-00007C000000}"/>
    <cellStyle name="Normal 7 2 2 2" xfId="124" xr:uid="{00000000-0005-0000-0000-00007D000000}"/>
    <cellStyle name="Normal 7 2 3" xfId="125" xr:uid="{00000000-0005-0000-0000-00007E000000}"/>
    <cellStyle name="Normal 7 2 4" xfId="126" xr:uid="{00000000-0005-0000-0000-00007F000000}"/>
    <cellStyle name="Normal 7 3" xfId="127" xr:uid="{00000000-0005-0000-0000-000080000000}"/>
    <cellStyle name="Normal 7 3 2" xfId="128" xr:uid="{00000000-0005-0000-0000-000081000000}"/>
    <cellStyle name="Normal 8" xfId="108" xr:uid="{00000000-0005-0000-0000-000082000000}"/>
    <cellStyle name="Percent" xfId="83" builtinId="5"/>
    <cellStyle name="Percent 2" xfId="6" xr:uid="{00000000-0005-0000-0000-000084000000}"/>
    <cellStyle name="Percent 2 2" xfId="129" xr:uid="{00000000-0005-0000-0000-000085000000}"/>
    <cellStyle name="Percent 3" xfId="130" xr:uid="{00000000-0005-0000-0000-000086000000}"/>
    <cellStyle name="Percent 3 2" xfId="131" xr:uid="{00000000-0005-0000-0000-000087000000}"/>
    <cellStyle name="Percent 3 3" xfId="132" xr:uid="{00000000-0005-0000-0000-000088000000}"/>
    <cellStyle name="Percent 4" xfId="133" xr:uid="{00000000-0005-0000-0000-00008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leg1.state.va.us/cgi-bin/legp504.exe?000+cod+23-7.4" TargetMode="External"/><Relationship Id="rId13" Type="http://schemas.openxmlformats.org/officeDocument/2006/relationships/hyperlink" Target="http://leg1.state.va.us/cgi-bin/legp504.exe?000+cod+23-7.4C2" TargetMode="External"/><Relationship Id="rId18" Type="http://schemas.openxmlformats.org/officeDocument/2006/relationships/hyperlink" Target="http://leg1.state.va.us/cgi-bin/legp504.exe?000+cod+23-7.4C2" TargetMode="External"/><Relationship Id="rId3" Type="http://schemas.openxmlformats.org/officeDocument/2006/relationships/hyperlink" Target="http://leg1.state.va.us/cgi-bin/legp504.exe?000+cod+23-7.4C2" TargetMode="External"/><Relationship Id="rId21" Type="http://schemas.openxmlformats.org/officeDocument/2006/relationships/hyperlink" Target="http://lis.virginia.gov/cgi-bin/legp604.exe?131+ful+CHAP0166" TargetMode="External"/><Relationship Id="rId7" Type="http://schemas.openxmlformats.org/officeDocument/2006/relationships/hyperlink" Target="http://leg1.state.va.us/cgi-bin/legp504.exe?000+cod+23-7.4" TargetMode="External"/><Relationship Id="rId12" Type="http://schemas.openxmlformats.org/officeDocument/2006/relationships/hyperlink" Target="http://www.ed.gov/policy/highered/leg/hea08/index.html" TargetMode="External"/><Relationship Id="rId17" Type="http://schemas.openxmlformats.org/officeDocument/2006/relationships/hyperlink" Target="http://lis.virginia.gov/cgi-bin/legp604.exe?122+bud+24-2.01" TargetMode="External"/><Relationship Id="rId2" Type="http://schemas.openxmlformats.org/officeDocument/2006/relationships/hyperlink" Target="http://leg1.state.va.us/cgi-bin/legp504.exe?000+cod+23-7.4C2" TargetMode="External"/><Relationship Id="rId16" Type="http://schemas.openxmlformats.org/officeDocument/2006/relationships/hyperlink" Target="http://leg1.state.va.us/cgi-bin/legp504.exe?000+cod+23-7.4C1" TargetMode="External"/><Relationship Id="rId20" Type="http://schemas.openxmlformats.org/officeDocument/2006/relationships/hyperlink" Target="http://leg1.state.va.us/cgi-bin/legp504.exe?000+cod+23-7.4C2" TargetMode="External"/><Relationship Id="rId1" Type="http://schemas.openxmlformats.org/officeDocument/2006/relationships/hyperlink" Target="http://leg1.state.va.us/cgi-bin/legp504.exe?000+cod+23-7.4C2" TargetMode="External"/><Relationship Id="rId6" Type="http://schemas.openxmlformats.org/officeDocument/2006/relationships/hyperlink" Target="http://leg1.state.va.us/cgi-bin/legp504.exe?000+cod+23-7.4C2" TargetMode="External"/><Relationship Id="rId11" Type="http://schemas.openxmlformats.org/officeDocument/2006/relationships/hyperlink" Target="http://lis.virginia.gov/cgi-bin/legp604.exe?122+bud+24-2.01" TargetMode="External"/><Relationship Id="rId5" Type="http://schemas.openxmlformats.org/officeDocument/2006/relationships/hyperlink" Target="http://leg1.state.va.us/cgi-bin/legp504.exe?000+cod+23-7.4C2" TargetMode="External"/><Relationship Id="rId15" Type="http://schemas.openxmlformats.org/officeDocument/2006/relationships/hyperlink" Target="http://leg1.state.va.us/cgi-bin/legp504.exe?000+cod+23-7.4C1" TargetMode="External"/><Relationship Id="rId10" Type="http://schemas.openxmlformats.org/officeDocument/2006/relationships/hyperlink" Target="http://leg1.state.va.us/cgi-bin/legp504.exe?000+cod+23-7.4C2" TargetMode="External"/><Relationship Id="rId19" Type="http://schemas.openxmlformats.org/officeDocument/2006/relationships/hyperlink" Target="http://leg1.state.va.us/cgi-bin/legp504.exe?000+cod+23-31" TargetMode="External"/><Relationship Id="rId4" Type="http://schemas.openxmlformats.org/officeDocument/2006/relationships/hyperlink" Target="http://leg1.state.va.us/cgi-bin/legp504.exe?000+cod+23-7.4C2" TargetMode="External"/><Relationship Id="rId9" Type="http://schemas.openxmlformats.org/officeDocument/2006/relationships/hyperlink" Target="http://leg1.state.va.us/cgi-bin/legp504.exe?000+cod+23-7.4C2" TargetMode="External"/><Relationship Id="rId14" Type="http://schemas.openxmlformats.org/officeDocument/2006/relationships/hyperlink" Target="http://leg1.state.va.us/cgi-bin/legp504.exe?000+cod+23-38.54"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clarkdb@vmi.edu"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E3009-A9CA-4ADB-966E-977003DAB000}">
  <dimension ref="A1:R66"/>
  <sheetViews>
    <sheetView topLeftCell="A43" workbookViewId="0">
      <selection activeCell="A6" sqref="A6"/>
    </sheetView>
  </sheetViews>
  <sheetFormatPr defaultColWidth="164.42578125" defaultRowHeight="15" x14ac:dyDescent="0.2"/>
  <cols>
    <col min="1" max="1" width="170.5703125" style="62" customWidth="1"/>
    <col min="2" max="16384" width="164.42578125" style="62"/>
  </cols>
  <sheetData>
    <row r="1" spans="1:1" ht="21" customHeight="1" x14ac:dyDescent="0.2">
      <c r="A1" s="61" t="s">
        <v>0</v>
      </c>
    </row>
    <row r="2" spans="1:1" ht="21" customHeight="1" x14ac:dyDescent="0.2">
      <c r="A2" s="61" t="s">
        <v>1</v>
      </c>
    </row>
    <row r="3" spans="1:1" ht="21" customHeight="1" x14ac:dyDescent="0.2">
      <c r="A3" s="355" t="s">
        <v>2</v>
      </c>
    </row>
    <row r="4" spans="1:1" ht="16.350000000000001" customHeight="1" x14ac:dyDescent="0.2">
      <c r="A4" s="356"/>
    </row>
    <row r="5" spans="1:1" ht="21" customHeight="1" x14ac:dyDescent="0.2">
      <c r="A5" s="63" t="s">
        <v>3</v>
      </c>
    </row>
    <row r="6" spans="1:1" s="64" customFormat="1" ht="124.5" customHeight="1" x14ac:dyDescent="0.2">
      <c r="A6" s="73" t="s">
        <v>4</v>
      </c>
    </row>
    <row r="7" spans="1:1" s="65" customFormat="1" ht="21" customHeight="1" x14ac:dyDescent="0.2">
      <c r="A7" s="63" t="s">
        <v>5</v>
      </c>
    </row>
    <row r="8" spans="1:1" s="64" customFormat="1" ht="69.599999999999994" customHeight="1" x14ac:dyDescent="0.2">
      <c r="A8" s="357" t="s">
        <v>6</v>
      </c>
    </row>
    <row r="9" spans="1:1" s="64" customFormat="1" ht="92.25" customHeight="1" thickBot="1" x14ac:dyDescent="0.25">
      <c r="A9" s="66" t="s">
        <v>7</v>
      </c>
    </row>
    <row r="10" spans="1:1" s="64" customFormat="1" ht="33" customHeight="1" thickBot="1" x14ac:dyDescent="0.25">
      <c r="A10" s="67" t="s">
        <v>8</v>
      </c>
    </row>
    <row r="11" spans="1:1" s="64" customFormat="1" ht="23.45" customHeight="1" x14ac:dyDescent="0.2">
      <c r="A11" s="69" t="s">
        <v>9</v>
      </c>
    </row>
    <row r="12" spans="1:1" s="64" customFormat="1" ht="72" customHeight="1" x14ac:dyDescent="0.2">
      <c r="A12" s="70" t="s">
        <v>10</v>
      </c>
    </row>
    <row r="13" spans="1:1" s="68" customFormat="1" ht="21" customHeight="1" x14ac:dyDescent="0.2">
      <c r="A13" s="69" t="s">
        <v>11</v>
      </c>
    </row>
    <row r="14" spans="1:1" s="68" customFormat="1" ht="108.75" customHeight="1" x14ac:dyDescent="0.2">
      <c r="A14" s="73" t="s">
        <v>12</v>
      </c>
    </row>
    <row r="15" spans="1:1" s="68" customFormat="1" ht="84" customHeight="1" x14ac:dyDescent="0.2">
      <c r="A15" s="73" t="s">
        <v>13</v>
      </c>
    </row>
    <row r="16" spans="1:1" s="72" customFormat="1" ht="21" customHeight="1" x14ac:dyDescent="0.2">
      <c r="A16" s="71" t="s">
        <v>14</v>
      </c>
    </row>
    <row r="17" spans="1:18" s="68" customFormat="1" ht="160.5" customHeight="1" x14ac:dyDescent="0.2">
      <c r="A17" s="73" t="s">
        <v>15</v>
      </c>
    </row>
    <row r="18" spans="1:18" s="68" customFormat="1" ht="21" customHeight="1" x14ac:dyDescent="0.2">
      <c r="A18" s="69" t="s">
        <v>16</v>
      </c>
    </row>
    <row r="19" spans="1:18" s="68" customFormat="1" ht="353.25" customHeight="1" x14ac:dyDescent="0.2">
      <c r="A19" s="376" t="s">
        <v>17</v>
      </c>
      <c r="B19" s="358"/>
      <c r="C19" s="358"/>
      <c r="D19" s="358"/>
      <c r="E19" s="358"/>
      <c r="F19" s="358"/>
      <c r="G19" s="358"/>
      <c r="H19" s="358"/>
      <c r="I19" s="358"/>
      <c r="J19" s="358"/>
      <c r="K19" s="358"/>
      <c r="L19" s="358"/>
      <c r="M19" s="358"/>
      <c r="N19" s="358"/>
      <c r="O19" s="358"/>
    </row>
    <row r="20" spans="1:18" s="68" customFormat="1" ht="303.75" customHeight="1" x14ac:dyDescent="0.2">
      <c r="A20" s="359" t="s">
        <v>18</v>
      </c>
      <c r="B20" s="358"/>
      <c r="C20" s="358"/>
      <c r="D20" s="358"/>
      <c r="E20" s="358"/>
      <c r="F20" s="358"/>
      <c r="G20" s="358"/>
      <c r="H20" s="358"/>
      <c r="I20" s="358"/>
      <c r="J20" s="358"/>
      <c r="K20" s="358"/>
      <c r="L20" s="358"/>
      <c r="M20" s="358"/>
      <c r="N20" s="358"/>
      <c r="O20" s="358"/>
    </row>
    <row r="21" spans="1:18" s="64" customFormat="1" ht="57.75" customHeight="1" x14ac:dyDescent="0.2">
      <c r="A21" s="360" t="s">
        <v>19</v>
      </c>
    </row>
    <row r="22" spans="1:18" s="64" customFormat="1" ht="55.5" customHeight="1" x14ac:dyDescent="0.2">
      <c r="A22" s="361" t="s">
        <v>20</v>
      </c>
    </row>
    <row r="23" spans="1:18" s="64" customFormat="1" ht="21" customHeight="1" x14ac:dyDescent="0.2">
      <c r="A23" s="362" t="s">
        <v>21</v>
      </c>
    </row>
    <row r="24" spans="1:18" s="64" customFormat="1" ht="21" customHeight="1" x14ac:dyDescent="0.2">
      <c r="A24" s="362" t="s">
        <v>22</v>
      </c>
    </row>
    <row r="25" spans="1:18" s="64" customFormat="1" ht="21" customHeight="1" x14ac:dyDescent="0.2">
      <c r="A25" s="363" t="s">
        <v>23</v>
      </c>
    </row>
    <row r="26" spans="1:18" s="72" customFormat="1" ht="21" customHeight="1" thickBot="1" x14ac:dyDescent="0.25">
      <c r="A26" s="69" t="s">
        <v>24</v>
      </c>
      <c r="B26" s="237"/>
      <c r="C26" s="237"/>
      <c r="D26" s="237"/>
      <c r="E26" s="237"/>
      <c r="F26" s="237"/>
      <c r="G26" s="237"/>
      <c r="H26" s="237"/>
    </row>
    <row r="27" spans="1:18" s="64" customFormat="1" ht="232.5" customHeight="1" x14ac:dyDescent="0.2">
      <c r="A27" s="364" t="s">
        <v>25</v>
      </c>
      <c r="B27" s="236"/>
      <c r="C27" s="236"/>
      <c r="D27" s="236"/>
      <c r="E27" s="236"/>
      <c r="F27" s="236"/>
      <c r="G27" s="236"/>
      <c r="H27" s="236"/>
      <c r="I27" s="236"/>
      <c r="J27" s="236"/>
      <c r="K27" s="236"/>
      <c r="L27" s="236"/>
      <c r="M27" s="236"/>
      <c r="N27" s="236"/>
      <c r="O27" s="236"/>
      <c r="P27" s="236"/>
      <c r="Q27" s="236"/>
      <c r="R27" s="236"/>
    </row>
    <row r="28" spans="1:18" s="64" customFormat="1" ht="21" customHeight="1" x14ac:dyDescent="0.2">
      <c r="A28" s="69" t="s">
        <v>26</v>
      </c>
    </row>
    <row r="29" spans="1:18" s="64" customFormat="1" ht="196.5" customHeight="1" x14ac:dyDescent="0.2">
      <c r="A29" s="365" t="s">
        <v>27</v>
      </c>
      <c r="B29" s="236"/>
      <c r="C29" s="236"/>
      <c r="D29" s="236"/>
      <c r="E29" s="236"/>
      <c r="F29" s="236"/>
      <c r="G29" s="236"/>
      <c r="H29" s="236"/>
    </row>
    <row r="30" spans="1:18" s="64" customFormat="1" ht="61.5" customHeight="1" x14ac:dyDescent="0.2">
      <c r="A30" s="70" t="s">
        <v>28</v>
      </c>
    </row>
    <row r="31" spans="1:18" s="64" customFormat="1" ht="97.5" customHeight="1" x14ac:dyDescent="0.2">
      <c r="A31" s="70" t="s">
        <v>29</v>
      </c>
    </row>
    <row r="32" spans="1:18" s="68" customFormat="1" ht="79.5" customHeight="1" x14ac:dyDescent="0.2">
      <c r="A32" s="73" t="s">
        <v>30</v>
      </c>
    </row>
    <row r="33" spans="1:1" s="68" customFormat="1" ht="21" customHeight="1" x14ac:dyDescent="0.2">
      <c r="A33" s="74" t="s">
        <v>31</v>
      </c>
    </row>
    <row r="34" spans="1:1" ht="21" customHeight="1" x14ac:dyDescent="0.2">
      <c r="A34" s="75" t="s">
        <v>32</v>
      </c>
    </row>
    <row r="35" spans="1:1" ht="21" customHeight="1" x14ac:dyDescent="0.2">
      <c r="A35" s="75" t="s">
        <v>33</v>
      </c>
    </row>
    <row r="36" spans="1:1" s="64" customFormat="1" ht="21" customHeight="1" x14ac:dyDescent="0.2">
      <c r="A36" s="75" t="s">
        <v>34</v>
      </c>
    </row>
    <row r="37" spans="1:1" s="64" customFormat="1" ht="21" customHeight="1" x14ac:dyDescent="0.2">
      <c r="A37" s="75" t="s">
        <v>35</v>
      </c>
    </row>
    <row r="38" spans="1:1" s="64" customFormat="1" ht="21" customHeight="1" x14ac:dyDescent="0.2">
      <c r="A38" s="75" t="s">
        <v>36</v>
      </c>
    </row>
    <row r="39" spans="1:1" s="64" customFormat="1" ht="21" customHeight="1" x14ac:dyDescent="0.2">
      <c r="A39" s="69" t="s">
        <v>37</v>
      </c>
    </row>
    <row r="40" spans="1:1" s="68" customFormat="1" ht="21" customHeight="1" x14ac:dyDescent="0.2">
      <c r="A40" s="76" t="s">
        <v>38</v>
      </c>
    </row>
    <row r="41" spans="1:1" s="78" customFormat="1" ht="145.35" customHeight="1" x14ac:dyDescent="0.2">
      <c r="A41" s="77" t="s">
        <v>39</v>
      </c>
    </row>
    <row r="42" spans="1:1" s="78" customFormat="1" ht="57.6" customHeight="1" x14ac:dyDescent="0.2">
      <c r="A42" s="77" t="s">
        <v>40</v>
      </c>
    </row>
    <row r="43" spans="1:1" s="78" customFormat="1" ht="64.349999999999994" customHeight="1" x14ac:dyDescent="0.2">
      <c r="A43" s="77" t="s">
        <v>41</v>
      </c>
    </row>
    <row r="44" spans="1:1" s="78" customFormat="1" ht="77.099999999999994" customHeight="1" x14ac:dyDescent="0.2">
      <c r="A44" s="77" t="s">
        <v>42</v>
      </c>
    </row>
    <row r="45" spans="1:1" s="78" customFormat="1" ht="28.35" customHeight="1" x14ac:dyDescent="0.2">
      <c r="A45" s="77" t="s">
        <v>43</v>
      </c>
    </row>
    <row r="46" spans="1:1" s="78" customFormat="1" ht="26.1" customHeight="1" x14ac:dyDescent="0.2">
      <c r="A46" s="79" t="s">
        <v>44</v>
      </c>
    </row>
    <row r="47" spans="1:1" s="78" customFormat="1" ht="36" customHeight="1" x14ac:dyDescent="0.2">
      <c r="A47" s="77" t="s">
        <v>45</v>
      </c>
    </row>
    <row r="48" spans="1:1" s="78" customFormat="1" ht="20.25" customHeight="1" x14ac:dyDescent="0.2">
      <c r="A48" s="77" t="s">
        <v>46</v>
      </c>
    </row>
    <row r="49" spans="1:1" s="78" customFormat="1" ht="21.6" customHeight="1" x14ac:dyDescent="0.2">
      <c r="A49" s="77" t="s">
        <v>47</v>
      </c>
    </row>
    <row r="50" spans="1:1" s="78" customFormat="1" ht="24.6" customHeight="1" x14ac:dyDescent="0.2">
      <c r="A50" s="79" t="s">
        <v>48</v>
      </c>
    </row>
    <row r="51" spans="1:1" s="78" customFormat="1" ht="17.45" customHeight="1" x14ac:dyDescent="0.2">
      <c r="A51" s="79" t="s">
        <v>49</v>
      </c>
    </row>
    <row r="52" spans="1:1" s="78" customFormat="1" ht="35.1" customHeight="1" x14ac:dyDescent="0.2">
      <c r="A52" s="79" t="s">
        <v>50</v>
      </c>
    </row>
    <row r="53" spans="1:1" s="78" customFormat="1" ht="57" customHeight="1" x14ac:dyDescent="0.2">
      <c r="A53" s="79" t="s">
        <v>51</v>
      </c>
    </row>
    <row r="54" spans="1:1" s="78" customFormat="1" ht="62.1" customHeight="1" x14ac:dyDescent="0.2">
      <c r="A54" s="79" t="s">
        <v>52</v>
      </c>
    </row>
    <row r="55" spans="1:1" s="78" customFormat="1" ht="107.1" customHeight="1" x14ac:dyDescent="0.2">
      <c r="A55" s="79" t="s">
        <v>53</v>
      </c>
    </row>
    <row r="56" spans="1:1" s="78" customFormat="1" ht="63" customHeight="1" x14ac:dyDescent="0.2">
      <c r="A56" s="79" t="s">
        <v>54</v>
      </c>
    </row>
    <row r="57" spans="1:1" s="78" customFormat="1" ht="24" customHeight="1" x14ac:dyDescent="0.2">
      <c r="A57" s="79" t="s">
        <v>55</v>
      </c>
    </row>
    <row r="58" spans="1:1" s="78" customFormat="1" ht="23.1" customHeight="1" x14ac:dyDescent="0.2">
      <c r="A58" s="79" t="s">
        <v>56</v>
      </c>
    </row>
    <row r="59" spans="1:1" s="64" customFormat="1" ht="85.5" x14ac:dyDescent="0.2">
      <c r="A59" s="79" t="s">
        <v>57</v>
      </c>
    </row>
    <row r="60" spans="1:1" s="64" customFormat="1" ht="51.6" customHeight="1" x14ac:dyDescent="0.2">
      <c r="A60" s="79" t="s">
        <v>58</v>
      </c>
    </row>
    <row r="61" spans="1:1" s="64" customFormat="1" ht="89.45" customHeight="1" x14ac:dyDescent="0.2">
      <c r="A61" s="79" t="s">
        <v>59</v>
      </c>
    </row>
    <row r="62" spans="1:1" s="64" customFormat="1" ht="32.450000000000003" customHeight="1" x14ac:dyDescent="0.2">
      <c r="A62" s="79" t="s">
        <v>60</v>
      </c>
    </row>
    <row r="63" spans="1:1" hidden="1" x14ac:dyDescent="0.2">
      <c r="A63" s="80"/>
    </row>
    <row r="64" spans="1:1" hidden="1" x14ac:dyDescent="0.2">
      <c r="A64" s="80"/>
    </row>
    <row r="65" spans="1:1" hidden="1" x14ac:dyDescent="0.2">
      <c r="A65" s="80"/>
    </row>
    <row r="66" spans="1:1" s="102" customFormat="1" x14ac:dyDescent="0.2"/>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E16998-D293-4F33-8880-2AF2CB759698}">
  <dimension ref="A1:A16"/>
  <sheetViews>
    <sheetView workbookViewId="0">
      <selection activeCell="E10" sqref="E10"/>
    </sheetView>
  </sheetViews>
  <sheetFormatPr defaultRowHeight="12.75" x14ac:dyDescent="0.2"/>
  <cols>
    <col min="1" max="1" width="40" bestFit="1" customWidth="1"/>
  </cols>
  <sheetData>
    <row r="1" spans="1:1" x14ac:dyDescent="0.2">
      <c r="A1" s="310" t="s">
        <v>263</v>
      </c>
    </row>
    <row r="2" spans="1:1" ht="15" x14ac:dyDescent="0.2">
      <c r="A2" s="308" t="s">
        <v>264</v>
      </c>
    </row>
    <row r="3" spans="1:1" ht="15" x14ac:dyDescent="0.2">
      <c r="A3" s="188" t="s">
        <v>265</v>
      </c>
    </row>
    <row r="4" spans="1:1" ht="15" x14ac:dyDescent="0.2">
      <c r="A4" s="308" t="s">
        <v>266</v>
      </c>
    </row>
    <row r="5" spans="1:1" ht="15" x14ac:dyDescent="0.2">
      <c r="A5" s="308" t="s">
        <v>267</v>
      </c>
    </row>
    <row r="6" spans="1:1" ht="15" x14ac:dyDescent="0.2">
      <c r="A6" s="307" t="s">
        <v>268</v>
      </c>
    </row>
    <row r="7" spans="1:1" ht="15" x14ac:dyDescent="0.2">
      <c r="A7" s="308" t="s">
        <v>269</v>
      </c>
    </row>
    <row r="8" spans="1:1" ht="15" x14ac:dyDescent="0.2">
      <c r="A8" s="309" t="s">
        <v>270</v>
      </c>
    </row>
    <row r="9" spans="1:1" ht="15" x14ac:dyDescent="0.2">
      <c r="A9" s="309" t="s">
        <v>271</v>
      </c>
    </row>
    <row r="10" spans="1:1" ht="15" x14ac:dyDescent="0.2">
      <c r="A10" s="311" t="s">
        <v>272</v>
      </c>
    </row>
    <row r="11" spans="1:1" ht="15" x14ac:dyDescent="0.2">
      <c r="A11" s="311" t="s">
        <v>273</v>
      </c>
    </row>
    <row r="12" spans="1:1" ht="15" x14ac:dyDescent="0.2">
      <c r="A12" s="309" t="s">
        <v>274</v>
      </c>
    </row>
    <row r="13" spans="1:1" ht="15" x14ac:dyDescent="0.2">
      <c r="A13" s="309" t="s">
        <v>275</v>
      </c>
    </row>
    <row r="14" spans="1:1" ht="15" x14ac:dyDescent="0.2">
      <c r="A14" s="309" t="s">
        <v>276</v>
      </c>
    </row>
    <row r="15" spans="1:1" ht="15" x14ac:dyDescent="0.2">
      <c r="A15" s="188" t="s">
        <v>277</v>
      </c>
    </row>
    <row r="16" spans="1:1" ht="15" x14ac:dyDescent="0.2">
      <c r="A16" s="188" t="s">
        <v>278</v>
      </c>
    </row>
  </sheetData>
  <sortState xmlns:xlrd2="http://schemas.microsoft.com/office/spreadsheetml/2017/richdata2" ref="A2:A15">
    <sortCondition ref="A2:A15"/>
  </sortState>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35"/>
  <sheetViews>
    <sheetView topLeftCell="A55" workbookViewId="0">
      <selection sqref="A1:H1"/>
    </sheetView>
  </sheetViews>
  <sheetFormatPr defaultColWidth="8.5703125" defaultRowHeight="12.75" x14ac:dyDescent="0.2"/>
  <cols>
    <col min="1" max="1" width="55.5703125" customWidth="1"/>
    <col min="2" max="11" width="15.5703125" customWidth="1"/>
  </cols>
  <sheetData>
    <row r="1" spans="1:13" s="1" customFormat="1" ht="20.100000000000001" customHeight="1" x14ac:dyDescent="0.35">
      <c r="A1" s="414" t="str">
        <f>'Institution ID'!A1</f>
        <v>Six-Year Plans (2023): 2024-25 through 2029-30</v>
      </c>
      <c r="B1" s="414"/>
      <c r="C1" s="414"/>
      <c r="D1" s="414"/>
      <c r="E1" s="414"/>
      <c r="F1" s="414"/>
      <c r="G1" s="414"/>
      <c r="H1" s="414"/>
      <c r="I1" s="9"/>
      <c r="J1" s="8"/>
      <c r="K1" s="8"/>
      <c r="L1" s="8"/>
      <c r="M1" s="8"/>
    </row>
    <row r="2" spans="1:13" s="1" customFormat="1" ht="20.100000000000001" customHeight="1" x14ac:dyDescent="0.2">
      <c r="A2" s="378" t="str">
        <f>'Institution ID'!C3</f>
        <v>Virginia Military Institute</v>
      </c>
      <c r="B2" s="31"/>
      <c r="C2" s="31"/>
      <c r="D2" s="31"/>
      <c r="E2" s="31"/>
      <c r="F2" s="31"/>
      <c r="G2" s="31"/>
      <c r="H2" s="31"/>
      <c r="I2" s="31"/>
      <c r="J2" s="8"/>
      <c r="K2" s="8"/>
      <c r="L2" s="8"/>
      <c r="M2" s="8"/>
    </row>
    <row r="3" spans="1:13" ht="20.100000000000001" customHeight="1" x14ac:dyDescent="0.2">
      <c r="A3" s="30" t="s">
        <v>279</v>
      </c>
      <c r="B3" s="30"/>
      <c r="C3" s="30"/>
      <c r="D3" s="30"/>
      <c r="E3" s="30"/>
      <c r="F3" s="30"/>
      <c r="G3" s="30"/>
      <c r="H3" s="30"/>
      <c r="I3" s="30"/>
    </row>
    <row r="4" spans="1:13" ht="20.100000000000001" customHeight="1" x14ac:dyDescent="0.2">
      <c r="A4" s="30" t="s">
        <v>280</v>
      </c>
      <c r="B4" s="30"/>
      <c r="C4" s="30"/>
      <c r="D4" s="30"/>
      <c r="E4" s="30"/>
      <c r="F4" s="30"/>
      <c r="G4" s="30"/>
      <c r="H4" s="30"/>
      <c r="I4" s="30"/>
    </row>
    <row r="5" spans="1:13" ht="20.100000000000001" customHeight="1" thickBot="1" x14ac:dyDescent="0.3">
      <c r="A5" s="11"/>
      <c r="B5" s="11"/>
      <c r="C5" s="11"/>
      <c r="D5" s="11"/>
      <c r="E5" s="11"/>
      <c r="F5" s="11"/>
      <c r="G5" s="11"/>
      <c r="H5" s="11"/>
      <c r="I5" s="11"/>
    </row>
    <row r="6" spans="1:13" s="12" customFormat="1" ht="20.100000000000001" customHeight="1" x14ac:dyDescent="0.2">
      <c r="A6" s="564" t="s">
        <v>281</v>
      </c>
      <c r="B6" s="565"/>
      <c r="C6" s="565"/>
      <c r="D6" s="565"/>
      <c r="E6" s="565"/>
      <c r="F6" s="565"/>
      <c r="G6" s="565"/>
      <c r="H6" s="566"/>
      <c r="I6" s="15"/>
    </row>
    <row r="7" spans="1:13" s="1" customFormat="1" ht="20.100000000000001" customHeight="1" x14ac:dyDescent="0.2">
      <c r="A7" s="504" t="s">
        <v>282</v>
      </c>
      <c r="B7" s="567"/>
      <c r="C7" s="567"/>
      <c r="D7" s="567"/>
      <c r="E7" s="567"/>
      <c r="F7" s="567"/>
      <c r="G7" s="567"/>
      <c r="H7" s="498"/>
    </row>
    <row r="8" spans="1:13" s="1" customFormat="1" ht="20.100000000000001" customHeight="1" x14ac:dyDescent="0.2">
      <c r="A8" s="506" t="s">
        <v>283</v>
      </c>
      <c r="B8" s="506" t="s">
        <v>284</v>
      </c>
      <c r="C8" s="506"/>
      <c r="D8" s="506"/>
      <c r="E8" s="506" t="s">
        <v>285</v>
      </c>
      <c r="F8" s="506"/>
      <c r="G8" s="506"/>
      <c r="H8" s="539" t="s">
        <v>150</v>
      </c>
    </row>
    <row r="9" spans="1:13" s="1" customFormat="1" ht="20.100000000000001" customHeight="1" x14ac:dyDescent="0.2">
      <c r="A9" s="568"/>
      <c r="B9" s="383" t="s">
        <v>286</v>
      </c>
      <c r="C9" s="383" t="s">
        <v>287</v>
      </c>
      <c r="D9" s="383" t="s">
        <v>150</v>
      </c>
      <c r="E9" s="383" t="s">
        <v>286</v>
      </c>
      <c r="F9" s="383" t="s">
        <v>287</v>
      </c>
      <c r="G9" s="383" t="s">
        <v>150</v>
      </c>
      <c r="H9" s="540"/>
    </row>
    <row r="10" spans="1:13" s="1" customFormat="1" ht="20.100000000000001" customHeight="1" x14ac:dyDescent="0.2">
      <c r="A10" s="21" t="s">
        <v>142</v>
      </c>
      <c r="B10" s="13">
        <v>206500</v>
      </c>
      <c r="C10" s="13">
        <v>58002</v>
      </c>
      <c r="D10" s="14">
        <f>B10+C10</f>
        <v>264502</v>
      </c>
      <c r="E10" s="13">
        <v>73902</v>
      </c>
      <c r="F10" s="13">
        <v>19763</v>
      </c>
      <c r="G10" s="18">
        <f>E10+F10</f>
        <v>93665</v>
      </c>
      <c r="H10" s="20">
        <f>SUM(D10,G10)</f>
        <v>358167</v>
      </c>
    </row>
    <row r="11" spans="1:13" s="1" customFormat="1" ht="20.100000000000001" customHeight="1" x14ac:dyDescent="0.2">
      <c r="A11" s="384" t="s">
        <v>288</v>
      </c>
      <c r="B11" s="13">
        <v>0</v>
      </c>
      <c r="C11" s="13">
        <v>0</v>
      </c>
      <c r="D11" s="14">
        <f>B11+C11</f>
        <v>0</v>
      </c>
      <c r="E11" s="13">
        <v>0</v>
      </c>
      <c r="F11" s="13">
        <v>0</v>
      </c>
      <c r="G11" s="18">
        <f>E11+F11</f>
        <v>0</v>
      </c>
      <c r="H11" s="20">
        <f>SUM(D11,G11)</f>
        <v>0</v>
      </c>
    </row>
    <row r="12" spans="1:13" s="1" customFormat="1" ht="20.100000000000001" customHeight="1" x14ac:dyDescent="0.2">
      <c r="A12" s="384" t="s">
        <v>289</v>
      </c>
      <c r="B12" s="112">
        <v>0</v>
      </c>
      <c r="C12" s="112">
        <v>0</v>
      </c>
      <c r="D12" s="113">
        <f t="shared" ref="D12:D25" si="0">B12+C12</f>
        <v>0</v>
      </c>
      <c r="E12" s="112">
        <v>830621</v>
      </c>
      <c r="F12" s="112">
        <v>19920</v>
      </c>
      <c r="G12" s="19">
        <f t="shared" ref="G12:G25" si="1">E12+F12</f>
        <v>850541</v>
      </c>
      <c r="H12" s="20">
        <f t="shared" ref="H12:H25" si="2">SUM(D12,G12)</f>
        <v>850541</v>
      </c>
    </row>
    <row r="13" spans="1:13" s="1" customFormat="1" ht="20.100000000000001" customHeight="1" x14ac:dyDescent="0.2">
      <c r="A13" s="384" t="s">
        <v>290</v>
      </c>
      <c r="B13" s="112">
        <v>0</v>
      </c>
      <c r="C13" s="112">
        <v>0</v>
      </c>
      <c r="D13" s="113">
        <f t="shared" si="0"/>
        <v>0</v>
      </c>
      <c r="E13" s="112">
        <v>38052</v>
      </c>
      <c r="F13" s="112">
        <v>0</v>
      </c>
      <c r="G13" s="19">
        <f t="shared" si="1"/>
        <v>38052</v>
      </c>
      <c r="H13" s="20">
        <f t="shared" si="2"/>
        <v>38052</v>
      </c>
    </row>
    <row r="14" spans="1:13" s="1" customFormat="1" ht="20.100000000000001" customHeight="1" x14ac:dyDescent="0.2">
      <c r="A14" s="28" t="s">
        <v>291</v>
      </c>
      <c r="B14" s="114"/>
      <c r="C14" s="114"/>
      <c r="D14" s="114"/>
      <c r="E14" s="114"/>
      <c r="F14" s="114"/>
      <c r="G14" s="29"/>
      <c r="H14" s="29"/>
    </row>
    <row r="15" spans="1:13" s="1" customFormat="1" ht="20.100000000000001" customHeight="1" x14ac:dyDescent="0.2">
      <c r="A15" s="384" t="s">
        <v>292</v>
      </c>
      <c r="B15" s="112">
        <v>0</v>
      </c>
      <c r="C15" s="112">
        <v>0</v>
      </c>
      <c r="D15" s="113">
        <f t="shared" si="0"/>
        <v>0</v>
      </c>
      <c r="E15" s="112">
        <v>0</v>
      </c>
      <c r="F15" s="112">
        <v>0</v>
      </c>
      <c r="G15" s="19">
        <f t="shared" si="1"/>
        <v>0</v>
      </c>
      <c r="H15" s="20">
        <f t="shared" si="2"/>
        <v>0</v>
      </c>
    </row>
    <row r="16" spans="1:13" s="1" customFormat="1" ht="20.100000000000001" customHeight="1" x14ac:dyDescent="0.2">
      <c r="A16" s="384" t="s">
        <v>293</v>
      </c>
      <c r="B16" s="114"/>
      <c r="C16" s="114"/>
      <c r="D16" s="114"/>
      <c r="E16" s="114"/>
      <c r="F16" s="114"/>
      <c r="G16" s="29"/>
      <c r="H16" s="29"/>
    </row>
    <row r="17" spans="1:8" s="1" customFormat="1" ht="20.100000000000001" customHeight="1" x14ac:dyDescent="0.2">
      <c r="A17" s="384" t="s">
        <v>294</v>
      </c>
      <c r="B17" s="112">
        <v>0</v>
      </c>
      <c r="C17" s="112">
        <v>0</v>
      </c>
      <c r="D17" s="113">
        <f t="shared" si="0"/>
        <v>0</v>
      </c>
      <c r="E17" s="112">
        <v>0</v>
      </c>
      <c r="F17" s="112">
        <v>0</v>
      </c>
      <c r="G17" s="19">
        <f t="shared" si="1"/>
        <v>0</v>
      </c>
      <c r="H17" s="20">
        <f t="shared" si="2"/>
        <v>0</v>
      </c>
    </row>
    <row r="18" spans="1:8" s="1" customFormat="1" ht="20.100000000000001" customHeight="1" x14ac:dyDescent="0.2">
      <c r="A18" s="384" t="s">
        <v>295</v>
      </c>
      <c r="B18" s="112">
        <v>0</v>
      </c>
      <c r="C18" s="112">
        <v>0</v>
      </c>
      <c r="D18" s="113">
        <f t="shared" si="0"/>
        <v>0</v>
      </c>
      <c r="E18" s="112">
        <v>0</v>
      </c>
      <c r="F18" s="112">
        <v>0</v>
      </c>
      <c r="G18" s="19">
        <f t="shared" si="1"/>
        <v>0</v>
      </c>
      <c r="H18" s="20">
        <f t="shared" si="2"/>
        <v>0</v>
      </c>
    </row>
    <row r="19" spans="1:8" s="1" customFormat="1" ht="20.100000000000001" customHeight="1" x14ac:dyDescent="0.2">
      <c r="A19" s="384" t="s">
        <v>296</v>
      </c>
      <c r="B19" s="112">
        <v>0</v>
      </c>
      <c r="C19" s="112">
        <v>0</v>
      </c>
      <c r="D19" s="113">
        <f t="shared" si="0"/>
        <v>0</v>
      </c>
      <c r="E19" s="112">
        <v>0</v>
      </c>
      <c r="F19" s="112">
        <v>0</v>
      </c>
      <c r="G19" s="19">
        <f t="shared" si="1"/>
        <v>0</v>
      </c>
      <c r="H19" s="20">
        <f t="shared" si="2"/>
        <v>0</v>
      </c>
    </row>
    <row r="20" spans="1:8" s="1" customFormat="1" ht="20.100000000000001" customHeight="1" x14ac:dyDescent="0.2">
      <c r="A20" s="384" t="s">
        <v>297</v>
      </c>
      <c r="B20" s="112">
        <v>0</v>
      </c>
      <c r="C20" s="112">
        <v>0</v>
      </c>
      <c r="D20" s="113">
        <f t="shared" si="0"/>
        <v>0</v>
      </c>
      <c r="E20" s="112">
        <v>16913</v>
      </c>
      <c r="F20" s="112">
        <v>0</v>
      </c>
      <c r="G20" s="19">
        <f t="shared" si="1"/>
        <v>16913</v>
      </c>
      <c r="H20" s="20">
        <f t="shared" si="2"/>
        <v>16913</v>
      </c>
    </row>
    <row r="21" spans="1:8" s="1" customFormat="1" ht="20.100000000000001" customHeight="1" x14ac:dyDescent="0.2">
      <c r="A21" s="384" t="s">
        <v>298</v>
      </c>
      <c r="B21" s="112">
        <v>32682</v>
      </c>
      <c r="C21" s="112">
        <v>0</v>
      </c>
      <c r="D21" s="113">
        <f t="shared" si="0"/>
        <v>32682</v>
      </c>
      <c r="E21" s="112">
        <v>0</v>
      </c>
      <c r="F21" s="112">
        <v>0</v>
      </c>
      <c r="G21" s="19">
        <f t="shared" si="1"/>
        <v>0</v>
      </c>
      <c r="H21" s="20">
        <f t="shared" si="2"/>
        <v>32682</v>
      </c>
    </row>
    <row r="22" spans="1:8" s="1" customFormat="1" ht="20.100000000000001" customHeight="1" x14ac:dyDescent="0.2">
      <c r="A22" s="384" t="s">
        <v>299</v>
      </c>
      <c r="B22" s="112">
        <v>0</v>
      </c>
      <c r="C22" s="112">
        <v>0</v>
      </c>
      <c r="D22" s="113">
        <f t="shared" si="0"/>
        <v>0</v>
      </c>
      <c r="E22" s="112">
        <v>0</v>
      </c>
      <c r="F22" s="112">
        <v>0</v>
      </c>
      <c r="G22" s="19">
        <f t="shared" si="1"/>
        <v>0</v>
      </c>
      <c r="H22" s="20">
        <f t="shared" si="2"/>
        <v>0</v>
      </c>
    </row>
    <row r="23" spans="1:8" s="1" customFormat="1" ht="20.100000000000001" customHeight="1" x14ac:dyDescent="0.2">
      <c r="A23" s="384" t="s">
        <v>300</v>
      </c>
      <c r="B23" s="112">
        <v>120156</v>
      </c>
      <c r="C23" s="112">
        <v>0</v>
      </c>
      <c r="D23" s="113">
        <f t="shared" si="0"/>
        <v>120156</v>
      </c>
      <c r="E23" s="112">
        <v>0</v>
      </c>
      <c r="F23" s="112">
        <v>0</v>
      </c>
      <c r="G23" s="19">
        <f t="shared" si="1"/>
        <v>0</v>
      </c>
      <c r="H23" s="20">
        <f t="shared" si="2"/>
        <v>120156</v>
      </c>
    </row>
    <row r="24" spans="1:8" s="1" customFormat="1" ht="20.100000000000001" customHeight="1" x14ac:dyDescent="0.2">
      <c r="A24" s="384" t="s">
        <v>301</v>
      </c>
      <c r="B24" s="112">
        <v>16341</v>
      </c>
      <c r="C24" s="112">
        <v>4520</v>
      </c>
      <c r="D24" s="113">
        <f>B24+C24</f>
        <v>20861</v>
      </c>
      <c r="E24" s="112">
        <v>9648</v>
      </c>
      <c r="F24" s="112">
        <v>0</v>
      </c>
      <c r="G24" s="19">
        <f>E24+F24</f>
        <v>9648</v>
      </c>
      <c r="H24" s="20">
        <f>SUM(D24,G24)</f>
        <v>30509</v>
      </c>
    </row>
    <row r="25" spans="1:8" s="1" customFormat="1" ht="20.100000000000001" customHeight="1" x14ac:dyDescent="0.2">
      <c r="A25" s="384" t="s">
        <v>302</v>
      </c>
      <c r="B25" s="112">
        <v>0</v>
      </c>
      <c r="C25" s="112">
        <v>0</v>
      </c>
      <c r="D25" s="113">
        <f t="shared" si="0"/>
        <v>0</v>
      </c>
      <c r="E25" s="112">
        <v>0</v>
      </c>
      <c r="F25" s="112">
        <v>16480</v>
      </c>
      <c r="G25" s="19">
        <f t="shared" si="1"/>
        <v>16480</v>
      </c>
      <c r="H25" s="20">
        <f t="shared" si="2"/>
        <v>16480</v>
      </c>
    </row>
    <row r="26" spans="1:8" s="1" customFormat="1" ht="20.100000000000001" customHeight="1" thickBot="1" x14ac:dyDescent="0.25">
      <c r="A26" s="16" t="s">
        <v>150</v>
      </c>
      <c r="B26" s="17">
        <f>SUM(B10:B25)</f>
        <v>375679</v>
      </c>
      <c r="C26" s="17">
        <f t="shared" ref="C26:H26" si="3">SUM(C10:C25)</f>
        <v>62522</v>
      </c>
      <c r="D26" s="17">
        <f t="shared" si="3"/>
        <v>438201</v>
      </c>
      <c r="E26" s="17">
        <f t="shared" si="3"/>
        <v>969136</v>
      </c>
      <c r="F26" s="17">
        <f t="shared" si="3"/>
        <v>56163</v>
      </c>
      <c r="G26" s="17">
        <f t="shared" si="3"/>
        <v>1025299</v>
      </c>
      <c r="H26" s="17">
        <f t="shared" si="3"/>
        <v>1463500</v>
      </c>
    </row>
    <row r="27" spans="1:8" s="1" customFormat="1" ht="20.100000000000001" customHeight="1" thickBot="1" x14ac:dyDescent="0.25">
      <c r="A27" s="502"/>
      <c r="B27" s="503"/>
      <c r="C27" s="503"/>
      <c r="D27" s="503"/>
      <c r="E27" s="503"/>
      <c r="F27" s="503"/>
      <c r="G27" s="503"/>
      <c r="H27" s="503"/>
    </row>
    <row r="28" spans="1:8" s="1" customFormat="1" ht="20.100000000000001" customHeight="1" x14ac:dyDescent="0.2">
      <c r="A28" s="499" t="s">
        <v>303</v>
      </c>
      <c r="B28" s="500"/>
      <c r="C28" s="500"/>
      <c r="D28" s="500"/>
      <c r="E28" s="500"/>
      <c r="F28" s="500"/>
      <c r="G28" s="500"/>
      <c r="H28" s="501"/>
    </row>
    <row r="29" spans="1:8" s="1" customFormat="1" ht="20.100000000000001" customHeight="1" x14ac:dyDescent="0.2">
      <c r="A29" s="507" t="s">
        <v>283</v>
      </c>
      <c r="B29" s="506" t="s">
        <v>284</v>
      </c>
      <c r="C29" s="506"/>
      <c r="D29" s="506"/>
      <c r="E29" s="506" t="s">
        <v>285</v>
      </c>
      <c r="F29" s="506"/>
      <c r="G29" s="506"/>
      <c r="H29" s="498" t="s">
        <v>150</v>
      </c>
    </row>
    <row r="30" spans="1:8" s="1" customFormat="1" ht="20.100000000000001" customHeight="1" thickBot="1" x14ac:dyDescent="0.25">
      <c r="A30" s="508"/>
      <c r="B30" s="383" t="s">
        <v>286</v>
      </c>
      <c r="C30" s="383" t="s">
        <v>287</v>
      </c>
      <c r="D30" s="383" t="s">
        <v>150</v>
      </c>
      <c r="E30" s="383" t="s">
        <v>286</v>
      </c>
      <c r="F30" s="383" t="s">
        <v>287</v>
      </c>
      <c r="G30" s="383" t="s">
        <v>150</v>
      </c>
      <c r="H30" s="541"/>
    </row>
    <row r="31" spans="1:8" s="1" customFormat="1" ht="20.100000000000001" customHeight="1" x14ac:dyDescent="0.2">
      <c r="A31" s="21" t="s">
        <v>142</v>
      </c>
      <c r="B31" s="13">
        <v>342500</v>
      </c>
      <c r="C31" s="13">
        <v>76070</v>
      </c>
      <c r="D31" s="14">
        <f>B31+C31</f>
        <v>418570</v>
      </c>
      <c r="E31" s="13">
        <v>27845</v>
      </c>
      <c r="F31" s="13">
        <v>11470</v>
      </c>
      <c r="G31" s="18">
        <f>E31+F31</f>
        <v>39315</v>
      </c>
      <c r="H31" s="20">
        <f>SUM(D31,G31)</f>
        <v>457885</v>
      </c>
    </row>
    <row r="32" spans="1:8" s="1" customFormat="1" ht="20.100000000000001" customHeight="1" x14ac:dyDescent="0.2">
      <c r="A32" s="384" t="s">
        <v>288</v>
      </c>
      <c r="B32" s="13">
        <v>0</v>
      </c>
      <c r="C32" s="13">
        <v>0</v>
      </c>
      <c r="D32" s="14">
        <f>B32+C32</f>
        <v>0</v>
      </c>
      <c r="E32" s="13">
        <v>0</v>
      </c>
      <c r="F32" s="13">
        <v>0</v>
      </c>
      <c r="G32" s="18">
        <f>E32+F32</f>
        <v>0</v>
      </c>
      <c r="H32" s="20">
        <f>SUM(D32,G32)</f>
        <v>0</v>
      </c>
    </row>
    <row r="33" spans="1:8" s="1" customFormat="1" ht="20.100000000000001" customHeight="1" x14ac:dyDescent="0.2">
      <c r="A33" s="384" t="s">
        <v>289</v>
      </c>
      <c r="B33" s="112">
        <v>0</v>
      </c>
      <c r="C33" s="112">
        <v>0</v>
      </c>
      <c r="D33" s="113">
        <f>B33+C33</f>
        <v>0</v>
      </c>
      <c r="E33" s="112">
        <v>920700</v>
      </c>
      <c r="F33" s="112">
        <v>0</v>
      </c>
      <c r="G33" s="19">
        <f>E33+F33</f>
        <v>920700</v>
      </c>
      <c r="H33" s="20">
        <f>SUM(D33,G33)</f>
        <v>920700</v>
      </c>
    </row>
    <row r="34" spans="1:8" s="1" customFormat="1" ht="20.100000000000001" customHeight="1" x14ac:dyDescent="0.2">
      <c r="A34" s="384" t="s">
        <v>290</v>
      </c>
      <c r="B34" s="112">
        <v>0</v>
      </c>
      <c r="C34" s="112">
        <v>0</v>
      </c>
      <c r="D34" s="113">
        <f>B34+C34</f>
        <v>0</v>
      </c>
      <c r="E34" s="112">
        <v>19800</v>
      </c>
      <c r="F34" s="112">
        <v>0</v>
      </c>
      <c r="G34" s="19">
        <f>E34+F34</f>
        <v>19800</v>
      </c>
      <c r="H34" s="20">
        <f>SUM(D34,G34)</f>
        <v>19800</v>
      </c>
    </row>
    <row r="35" spans="1:8" s="1" customFormat="1" ht="20.100000000000001" customHeight="1" x14ac:dyDescent="0.2">
      <c r="A35" s="28" t="s">
        <v>291</v>
      </c>
      <c r="B35" s="114"/>
      <c r="C35" s="114"/>
      <c r="D35" s="114"/>
      <c r="E35" s="114"/>
      <c r="F35" s="114"/>
      <c r="G35" s="29"/>
      <c r="H35" s="29"/>
    </row>
    <row r="36" spans="1:8" s="1" customFormat="1" ht="20.100000000000001" customHeight="1" x14ac:dyDescent="0.2">
      <c r="A36" s="384" t="s">
        <v>292</v>
      </c>
      <c r="B36" s="112">
        <v>0</v>
      </c>
      <c r="C36" s="112">
        <v>0</v>
      </c>
      <c r="D36" s="113">
        <f>B36+C36</f>
        <v>0</v>
      </c>
      <c r="E36" s="112">
        <v>0</v>
      </c>
      <c r="F36" s="112">
        <v>0</v>
      </c>
      <c r="G36" s="19">
        <f>E36+F36</f>
        <v>0</v>
      </c>
      <c r="H36" s="20">
        <f>SUM(D36,G36)</f>
        <v>0</v>
      </c>
    </row>
    <row r="37" spans="1:8" s="1" customFormat="1" ht="20.100000000000001" customHeight="1" x14ac:dyDescent="0.2">
      <c r="A37" s="384" t="s">
        <v>293</v>
      </c>
      <c r="B37" s="112">
        <v>0</v>
      </c>
      <c r="C37" s="112">
        <v>0</v>
      </c>
      <c r="D37" s="113">
        <f>B37+C37</f>
        <v>0</v>
      </c>
      <c r="E37" s="112">
        <v>0</v>
      </c>
      <c r="F37" s="112">
        <v>0</v>
      </c>
      <c r="G37" s="19">
        <f>E37+F37</f>
        <v>0</v>
      </c>
      <c r="H37" s="20">
        <f>SUM(D37,G37)</f>
        <v>0</v>
      </c>
    </row>
    <row r="38" spans="1:8" s="1" customFormat="1" ht="20.100000000000001" customHeight="1" x14ac:dyDescent="0.2">
      <c r="A38" s="384" t="s">
        <v>294</v>
      </c>
      <c r="B38" s="112">
        <v>0</v>
      </c>
      <c r="C38" s="112">
        <v>0</v>
      </c>
      <c r="D38" s="113">
        <f t="shared" ref="D38:D46" si="4">B38+C38</f>
        <v>0</v>
      </c>
      <c r="E38" s="112">
        <v>0</v>
      </c>
      <c r="F38" s="112">
        <v>0</v>
      </c>
      <c r="G38" s="19">
        <f t="shared" ref="G38:G46" si="5">E38+F38</f>
        <v>0</v>
      </c>
      <c r="H38" s="20">
        <f t="shared" ref="H38:H46" si="6">SUM(D38,G38)</f>
        <v>0</v>
      </c>
    </row>
    <row r="39" spans="1:8" s="1" customFormat="1" ht="20.100000000000001" customHeight="1" x14ac:dyDescent="0.2">
      <c r="A39" s="384" t="s">
        <v>295</v>
      </c>
      <c r="B39" s="112">
        <v>0</v>
      </c>
      <c r="C39" s="112">
        <v>0</v>
      </c>
      <c r="D39" s="113">
        <f t="shared" si="4"/>
        <v>0</v>
      </c>
      <c r="E39" s="112">
        <v>0</v>
      </c>
      <c r="F39" s="112">
        <v>0</v>
      </c>
      <c r="G39" s="19">
        <f t="shared" si="5"/>
        <v>0</v>
      </c>
      <c r="H39" s="20">
        <f t="shared" si="6"/>
        <v>0</v>
      </c>
    </row>
    <row r="40" spans="1:8" s="1" customFormat="1" ht="20.100000000000001" customHeight="1" x14ac:dyDescent="0.2">
      <c r="A40" s="384" t="s">
        <v>296</v>
      </c>
      <c r="B40" s="112">
        <v>0</v>
      </c>
      <c r="C40" s="112">
        <v>0</v>
      </c>
      <c r="D40" s="113">
        <f t="shared" si="4"/>
        <v>0</v>
      </c>
      <c r="E40" s="112">
        <v>0</v>
      </c>
      <c r="F40" s="112">
        <v>0</v>
      </c>
      <c r="G40" s="19">
        <f t="shared" si="5"/>
        <v>0</v>
      </c>
      <c r="H40" s="20">
        <f t="shared" si="6"/>
        <v>0</v>
      </c>
    </row>
    <row r="41" spans="1:8" s="1" customFormat="1" ht="20.100000000000001" customHeight="1" x14ac:dyDescent="0.2">
      <c r="A41" s="384" t="s">
        <v>297</v>
      </c>
      <c r="B41" s="112">
        <v>0</v>
      </c>
      <c r="C41" s="112">
        <v>0</v>
      </c>
      <c r="D41" s="113">
        <f t="shared" si="4"/>
        <v>0</v>
      </c>
      <c r="E41" s="112">
        <v>0</v>
      </c>
      <c r="F41" s="112">
        <v>0</v>
      </c>
      <c r="G41" s="19">
        <f t="shared" si="5"/>
        <v>0</v>
      </c>
      <c r="H41" s="20">
        <f t="shared" si="6"/>
        <v>0</v>
      </c>
    </row>
    <row r="42" spans="1:8" s="1" customFormat="1" ht="20.100000000000001" customHeight="1" x14ac:dyDescent="0.2">
      <c r="A42" s="384" t="s">
        <v>298</v>
      </c>
      <c r="B42" s="112">
        <v>42885</v>
      </c>
      <c r="C42" s="112">
        <v>0</v>
      </c>
      <c r="D42" s="113">
        <f t="shared" si="4"/>
        <v>42885</v>
      </c>
      <c r="E42" s="112">
        <v>0</v>
      </c>
      <c r="F42" s="112">
        <v>0</v>
      </c>
      <c r="G42" s="19">
        <f t="shared" si="5"/>
        <v>0</v>
      </c>
      <c r="H42" s="20">
        <f t="shared" si="6"/>
        <v>42885</v>
      </c>
    </row>
    <row r="43" spans="1:8" s="1" customFormat="1" ht="20.100000000000001" customHeight="1" x14ac:dyDescent="0.2">
      <c r="A43" s="384" t="s">
        <v>299</v>
      </c>
      <c r="B43" s="112">
        <v>0</v>
      </c>
      <c r="C43" s="112">
        <v>0</v>
      </c>
      <c r="D43" s="113">
        <f t="shared" si="4"/>
        <v>0</v>
      </c>
      <c r="E43" s="112">
        <v>0</v>
      </c>
      <c r="F43" s="112">
        <v>0</v>
      </c>
      <c r="G43" s="19">
        <f t="shared" si="5"/>
        <v>0</v>
      </c>
      <c r="H43" s="20">
        <f t="shared" si="6"/>
        <v>0</v>
      </c>
    </row>
    <row r="44" spans="1:8" s="1" customFormat="1" ht="20.100000000000001" customHeight="1" x14ac:dyDescent="0.2">
      <c r="A44" s="384" t="s">
        <v>300</v>
      </c>
      <c r="B44" s="112">
        <v>90301</v>
      </c>
      <c r="C44" s="112">
        <v>0</v>
      </c>
      <c r="D44" s="113">
        <f t="shared" si="4"/>
        <v>90301</v>
      </c>
      <c r="E44" s="112">
        <v>0</v>
      </c>
      <c r="F44" s="112">
        <v>0</v>
      </c>
      <c r="G44" s="19">
        <f t="shared" si="5"/>
        <v>0</v>
      </c>
      <c r="H44" s="20">
        <f t="shared" si="6"/>
        <v>90301</v>
      </c>
    </row>
    <row r="45" spans="1:8" s="1" customFormat="1" ht="20.100000000000001" customHeight="1" x14ac:dyDescent="0.2">
      <c r="A45" s="384" t="s">
        <v>301</v>
      </c>
      <c r="B45" s="112">
        <v>10536</v>
      </c>
      <c r="C45" s="112">
        <v>0</v>
      </c>
      <c r="D45" s="113">
        <f t="shared" si="4"/>
        <v>10536</v>
      </c>
      <c r="E45" s="112">
        <v>2517</v>
      </c>
      <c r="F45" s="112">
        <v>0</v>
      </c>
      <c r="G45" s="19">
        <f t="shared" si="5"/>
        <v>2517</v>
      </c>
      <c r="H45" s="20">
        <f t="shared" si="6"/>
        <v>13053</v>
      </c>
    </row>
    <row r="46" spans="1:8" s="1" customFormat="1" ht="20.100000000000001" customHeight="1" x14ac:dyDescent="0.2">
      <c r="A46" s="384" t="s">
        <v>302</v>
      </c>
      <c r="B46" s="112">
        <v>0</v>
      </c>
      <c r="C46" s="112">
        <v>0</v>
      </c>
      <c r="D46" s="113">
        <f t="shared" si="4"/>
        <v>0</v>
      </c>
      <c r="E46" s="112">
        <v>0</v>
      </c>
      <c r="F46" s="112">
        <v>0</v>
      </c>
      <c r="G46" s="19">
        <f t="shared" si="5"/>
        <v>0</v>
      </c>
      <c r="H46" s="20">
        <f t="shared" si="6"/>
        <v>0</v>
      </c>
    </row>
    <row r="47" spans="1:8" s="1" customFormat="1" ht="20.100000000000001" customHeight="1" thickBot="1" x14ac:dyDescent="0.25">
      <c r="A47" s="16" t="s">
        <v>150</v>
      </c>
      <c r="B47" s="17">
        <f t="shared" ref="B47:H47" si="7">SUM(B31:B46)</f>
        <v>486222</v>
      </c>
      <c r="C47" s="17">
        <f t="shared" si="7"/>
        <v>76070</v>
      </c>
      <c r="D47" s="17">
        <f t="shared" si="7"/>
        <v>562292</v>
      </c>
      <c r="E47" s="17">
        <f t="shared" si="7"/>
        <v>970862</v>
      </c>
      <c r="F47" s="17">
        <f t="shared" si="7"/>
        <v>11470</v>
      </c>
      <c r="G47" s="17">
        <f t="shared" si="7"/>
        <v>982332</v>
      </c>
      <c r="H47" s="17">
        <f t="shared" si="7"/>
        <v>1544624</v>
      </c>
    </row>
    <row r="48" spans="1:8" s="1" customFormat="1" ht="20.100000000000001" customHeight="1" thickBot="1" x14ac:dyDescent="0.25">
      <c r="A48" s="502"/>
      <c r="B48" s="503"/>
      <c r="C48" s="503"/>
      <c r="D48" s="503"/>
      <c r="E48" s="503"/>
      <c r="F48" s="503"/>
      <c r="G48" s="503"/>
      <c r="H48" s="503"/>
    </row>
    <row r="49" spans="1:8" s="1" customFormat="1" ht="20.100000000000001" customHeight="1" x14ac:dyDescent="0.2">
      <c r="A49" s="499" t="s">
        <v>304</v>
      </c>
      <c r="B49" s="500"/>
      <c r="C49" s="500"/>
      <c r="D49" s="500"/>
      <c r="E49" s="500"/>
      <c r="F49" s="500"/>
      <c r="G49" s="500"/>
      <c r="H49" s="501"/>
    </row>
    <row r="50" spans="1:8" s="1" customFormat="1" ht="20.100000000000001" customHeight="1" x14ac:dyDescent="0.2">
      <c r="A50" s="507" t="s">
        <v>283</v>
      </c>
      <c r="B50" s="506" t="s">
        <v>284</v>
      </c>
      <c r="C50" s="506"/>
      <c r="D50" s="506"/>
      <c r="E50" s="506" t="s">
        <v>285</v>
      </c>
      <c r="F50" s="506"/>
      <c r="G50" s="506"/>
      <c r="H50" s="498" t="s">
        <v>150</v>
      </c>
    </row>
    <row r="51" spans="1:8" s="1" customFormat="1" ht="20.100000000000001" customHeight="1" thickBot="1" x14ac:dyDescent="0.25">
      <c r="A51" s="508"/>
      <c r="B51" s="383" t="s">
        <v>286</v>
      </c>
      <c r="C51" s="383" t="s">
        <v>287</v>
      </c>
      <c r="D51" s="383" t="s">
        <v>150</v>
      </c>
      <c r="E51" s="383" t="s">
        <v>286</v>
      </c>
      <c r="F51" s="383" t="s">
        <v>287</v>
      </c>
      <c r="G51" s="383" t="s">
        <v>150</v>
      </c>
      <c r="H51" s="498"/>
    </row>
    <row r="52" spans="1:8" s="1" customFormat="1" ht="20.100000000000001" customHeight="1" x14ac:dyDescent="0.2">
      <c r="A52" s="21" t="s">
        <v>142</v>
      </c>
      <c r="B52" s="13">
        <v>356200</v>
      </c>
      <c r="C52" s="13">
        <v>79113</v>
      </c>
      <c r="D52" s="14">
        <f>B52+C52</f>
        <v>435313</v>
      </c>
      <c r="E52" s="13">
        <v>28959</v>
      </c>
      <c r="F52" s="13">
        <v>11929</v>
      </c>
      <c r="G52" s="18">
        <f>E52+F52</f>
        <v>40888</v>
      </c>
      <c r="H52" s="20">
        <f>SUM(D52,G52)</f>
        <v>476201</v>
      </c>
    </row>
    <row r="53" spans="1:8" s="1" customFormat="1" ht="20.100000000000001" customHeight="1" x14ac:dyDescent="0.2">
      <c r="A53" s="384" t="s">
        <v>288</v>
      </c>
      <c r="B53" s="13">
        <v>0</v>
      </c>
      <c r="C53" s="13">
        <v>0</v>
      </c>
      <c r="D53" s="14">
        <f>B53+C53</f>
        <v>0</v>
      </c>
      <c r="E53" s="13">
        <v>0</v>
      </c>
      <c r="F53" s="13">
        <v>0</v>
      </c>
      <c r="G53" s="18">
        <f>E53+F53</f>
        <v>0</v>
      </c>
      <c r="H53" s="20">
        <f>SUM(D53,G53)</f>
        <v>0</v>
      </c>
    </row>
    <row r="54" spans="1:8" s="1" customFormat="1" ht="20.100000000000001" customHeight="1" x14ac:dyDescent="0.2">
      <c r="A54" s="384" t="s">
        <v>289</v>
      </c>
      <c r="B54" s="112">
        <v>0</v>
      </c>
      <c r="C54" s="112">
        <v>0</v>
      </c>
      <c r="D54" s="113">
        <f>B54+C54</f>
        <v>0</v>
      </c>
      <c r="E54" s="112">
        <v>957528</v>
      </c>
      <c r="F54" s="112">
        <v>0</v>
      </c>
      <c r="G54" s="19">
        <f>E54+F54</f>
        <v>957528</v>
      </c>
      <c r="H54" s="20">
        <f>SUM(D54,G54)</f>
        <v>957528</v>
      </c>
    </row>
    <row r="55" spans="1:8" s="1" customFormat="1" ht="20.100000000000001" customHeight="1" x14ac:dyDescent="0.2">
      <c r="A55" s="384" t="s">
        <v>290</v>
      </c>
      <c r="B55" s="112">
        <v>0</v>
      </c>
      <c r="C55" s="112">
        <v>0</v>
      </c>
      <c r="D55" s="113">
        <f>B55+C55</f>
        <v>0</v>
      </c>
      <c r="E55" s="112">
        <v>20592</v>
      </c>
      <c r="F55" s="112">
        <v>0</v>
      </c>
      <c r="G55" s="19">
        <f>E55+F55</f>
        <v>20592</v>
      </c>
      <c r="H55" s="20">
        <f>SUM(D55,G55)</f>
        <v>20592</v>
      </c>
    </row>
    <row r="56" spans="1:8" s="1" customFormat="1" ht="20.100000000000001" customHeight="1" x14ac:dyDescent="0.2">
      <c r="A56" s="28" t="s">
        <v>291</v>
      </c>
      <c r="B56" s="112">
        <v>0</v>
      </c>
      <c r="C56" s="112">
        <v>0</v>
      </c>
      <c r="D56" s="113">
        <f>B56+C56</f>
        <v>0</v>
      </c>
      <c r="E56" s="112">
        <v>0</v>
      </c>
      <c r="F56" s="112">
        <v>0</v>
      </c>
      <c r="G56" s="19">
        <f>E56+F56</f>
        <v>0</v>
      </c>
      <c r="H56" s="20">
        <f>SUM(D56,G56)</f>
        <v>0</v>
      </c>
    </row>
    <row r="57" spans="1:8" s="1" customFormat="1" ht="20.100000000000001" customHeight="1" x14ac:dyDescent="0.2">
      <c r="A57" s="384" t="s">
        <v>292</v>
      </c>
      <c r="B57" s="112">
        <v>0</v>
      </c>
      <c r="C57" s="112">
        <v>0</v>
      </c>
      <c r="D57" s="113">
        <f t="shared" ref="D57:D67" si="8">B57+C57</f>
        <v>0</v>
      </c>
      <c r="E57" s="112">
        <v>0</v>
      </c>
      <c r="F57" s="112">
        <v>0</v>
      </c>
      <c r="G57" s="19">
        <f t="shared" ref="G57:G67" si="9">E57+F57</f>
        <v>0</v>
      </c>
      <c r="H57" s="20">
        <f t="shared" ref="H57:H67" si="10">SUM(D57,G57)</f>
        <v>0</v>
      </c>
    </row>
    <row r="58" spans="1:8" s="1" customFormat="1" ht="20.100000000000001" customHeight="1" x14ac:dyDescent="0.2">
      <c r="A58" s="384" t="s">
        <v>293</v>
      </c>
      <c r="B58" s="112">
        <v>0</v>
      </c>
      <c r="C58" s="112">
        <v>0</v>
      </c>
      <c r="D58" s="113">
        <f t="shared" si="8"/>
        <v>0</v>
      </c>
      <c r="E58" s="112">
        <v>0</v>
      </c>
      <c r="F58" s="112">
        <v>0</v>
      </c>
      <c r="G58" s="19">
        <f t="shared" si="9"/>
        <v>0</v>
      </c>
      <c r="H58" s="20">
        <f t="shared" si="10"/>
        <v>0</v>
      </c>
    </row>
    <row r="59" spans="1:8" s="1" customFormat="1" ht="20.100000000000001" customHeight="1" x14ac:dyDescent="0.2">
      <c r="A59" s="384" t="s">
        <v>294</v>
      </c>
      <c r="B59" s="112">
        <v>0</v>
      </c>
      <c r="C59" s="112">
        <v>0</v>
      </c>
      <c r="D59" s="113">
        <f t="shared" si="8"/>
        <v>0</v>
      </c>
      <c r="E59" s="112">
        <v>0</v>
      </c>
      <c r="F59" s="112">
        <v>0</v>
      </c>
      <c r="G59" s="19">
        <f t="shared" si="9"/>
        <v>0</v>
      </c>
      <c r="H59" s="20">
        <f t="shared" si="10"/>
        <v>0</v>
      </c>
    </row>
    <row r="60" spans="1:8" s="1" customFormat="1" ht="20.100000000000001" customHeight="1" x14ac:dyDescent="0.2">
      <c r="A60" s="384" t="s">
        <v>295</v>
      </c>
      <c r="B60" s="112">
        <v>0</v>
      </c>
      <c r="C60" s="112">
        <v>0</v>
      </c>
      <c r="D60" s="113">
        <f t="shared" si="8"/>
        <v>0</v>
      </c>
      <c r="E60" s="112">
        <v>0</v>
      </c>
      <c r="F60" s="112">
        <v>0</v>
      </c>
      <c r="G60" s="19">
        <f t="shared" si="9"/>
        <v>0</v>
      </c>
      <c r="H60" s="20">
        <f t="shared" si="10"/>
        <v>0</v>
      </c>
    </row>
    <row r="61" spans="1:8" s="1" customFormat="1" ht="20.100000000000001" customHeight="1" x14ac:dyDescent="0.2">
      <c r="A61" s="384" t="s">
        <v>296</v>
      </c>
      <c r="B61" s="112">
        <v>0</v>
      </c>
      <c r="C61" s="112">
        <v>0</v>
      </c>
      <c r="D61" s="113">
        <f t="shared" si="8"/>
        <v>0</v>
      </c>
      <c r="E61" s="112">
        <v>0</v>
      </c>
      <c r="F61" s="112">
        <v>0</v>
      </c>
      <c r="G61" s="19">
        <f t="shared" si="9"/>
        <v>0</v>
      </c>
      <c r="H61" s="20">
        <f t="shared" si="10"/>
        <v>0</v>
      </c>
    </row>
    <row r="62" spans="1:8" s="1" customFormat="1" ht="20.100000000000001" customHeight="1" x14ac:dyDescent="0.2">
      <c r="A62" s="384" t="s">
        <v>297</v>
      </c>
      <c r="B62" s="112">
        <v>0</v>
      </c>
      <c r="C62" s="112">
        <v>0</v>
      </c>
      <c r="D62" s="113">
        <f t="shared" si="8"/>
        <v>0</v>
      </c>
      <c r="E62" s="112">
        <v>0</v>
      </c>
      <c r="F62" s="112">
        <v>0</v>
      </c>
      <c r="G62" s="19">
        <f t="shared" si="9"/>
        <v>0</v>
      </c>
      <c r="H62" s="20">
        <f t="shared" si="10"/>
        <v>0</v>
      </c>
    </row>
    <row r="63" spans="1:8" s="1" customFormat="1" ht="20.100000000000001" customHeight="1" x14ac:dyDescent="0.2">
      <c r="A63" s="384" t="s">
        <v>298</v>
      </c>
      <c r="B63" s="112">
        <v>44600</v>
      </c>
      <c r="C63" s="112">
        <v>0</v>
      </c>
      <c r="D63" s="113">
        <f t="shared" si="8"/>
        <v>44600</v>
      </c>
      <c r="E63" s="112">
        <v>0</v>
      </c>
      <c r="F63" s="112">
        <v>0</v>
      </c>
      <c r="G63" s="19">
        <f t="shared" si="9"/>
        <v>0</v>
      </c>
      <c r="H63" s="20">
        <f t="shared" si="10"/>
        <v>44600</v>
      </c>
    </row>
    <row r="64" spans="1:8" s="1" customFormat="1" ht="20.100000000000001" customHeight="1" x14ac:dyDescent="0.2">
      <c r="A64" s="384" t="s">
        <v>299</v>
      </c>
      <c r="B64" s="112">
        <v>0</v>
      </c>
      <c r="C64" s="112">
        <v>0</v>
      </c>
      <c r="D64" s="113">
        <f t="shared" si="8"/>
        <v>0</v>
      </c>
      <c r="E64" s="112">
        <v>0</v>
      </c>
      <c r="F64" s="112">
        <v>0</v>
      </c>
      <c r="G64" s="19">
        <f t="shared" si="9"/>
        <v>0</v>
      </c>
      <c r="H64" s="20">
        <f t="shared" si="10"/>
        <v>0</v>
      </c>
    </row>
    <row r="65" spans="1:8" s="1" customFormat="1" ht="20.100000000000001" customHeight="1" x14ac:dyDescent="0.2">
      <c r="A65" s="384" t="s">
        <v>300</v>
      </c>
      <c r="B65" s="112">
        <v>93913</v>
      </c>
      <c r="C65" s="112">
        <v>0</v>
      </c>
      <c r="D65" s="113">
        <f t="shared" si="8"/>
        <v>93913</v>
      </c>
      <c r="E65" s="112">
        <v>0</v>
      </c>
      <c r="F65" s="112">
        <v>0</v>
      </c>
      <c r="G65" s="19">
        <f t="shared" si="9"/>
        <v>0</v>
      </c>
      <c r="H65" s="20">
        <f t="shared" si="10"/>
        <v>93913</v>
      </c>
    </row>
    <row r="66" spans="1:8" s="1" customFormat="1" ht="20.100000000000001" customHeight="1" x14ac:dyDescent="0.2">
      <c r="A66" s="384" t="s">
        <v>301</v>
      </c>
      <c r="B66" s="112">
        <v>10957</v>
      </c>
      <c r="C66" s="112">
        <v>0</v>
      </c>
      <c r="D66" s="113">
        <f t="shared" si="8"/>
        <v>10957</v>
      </c>
      <c r="E66" s="112">
        <v>2618</v>
      </c>
      <c r="F66" s="112">
        <v>0</v>
      </c>
      <c r="G66" s="19">
        <f t="shared" si="9"/>
        <v>2618</v>
      </c>
      <c r="H66" s="20">
        <f t="shared" si="10"/>
        <v>13575</v>
      </c>
    </row>
    <row r="67" spans="1:8" s="1" customFormat="1" ht="20.100000000000001" customHeight="1" x14ac:dyDescent="0.2">
      <c r="A67" s="384" t="s">
        <v>302</v>
      </c>
      <c r="B67" s="112">
        <v>0</v>
      </c>
      <c r="C67" s="112">
        <v>0</v>
      </c>
      <c r="D67" s="113">
        <f t="shared" si="8"/>
        <v>0</v>
      </c>
      <c r="E67" s="112">
        <v>0</v>
      </c>
      <c r="F67" s="112">
        <v>0</v>
      </c>
      <c r="G67" s="19">
        <f t="shared" si="9"/>
        <v>0</v>
      </c>
      <c r="H67" s="20">
        <f t="shared" si="10"/>
        <v>0</v>
      </c>
    </row>
    <row r="68" spans="1:8" s="1" customFormat="1" ht="20.100000000000001" customHeight="1" thickBot="1" x14ac:dyDescent="0.25">
      <c r="A68" s="16" t="s">
        <v>150</v>
      </c>
      <c r="B68" s="17">
        <f t="shared" ref="B68:H68" si="11">SUM(B52:B67)</f>
        <v>505670</v>
      </c>
      <c r="C68" s="17">
        <f t="shared" si="11"/>
        <v>79113</v>
      </c>
      <c r="D68" s="17">
        <f t="shared" si="11"/>
        <v>584783</v>
      </c>
      <c r="E68" s="17">
        <f t="shared" si="11"/>
        <v>1009697</v>
      </c>
      <c r="F68" s="17">
        <f t="shared" si="11"/>
        <v>11929</v>
      </c>
      <c r="G68" s="17">
        <f t="shared" si="11"/>
        <v>1021626</v>
      </c>
      <c r="H68" s="17">
        <f t="shared" si="11"/>
        <v>1606409</v>
      </c>
    </row>
    <row r="69" spans="1:8" s="1" customFormat="1" ht="20.100000000000001" customHeight="1" thickBot="1" x14ac:dyDescent="0.25">
      <c r="A69" s="502"/>
      <c r="B69" s="503"/>
      <c r="C69" s="503"/>
      <c r="D69" s="503"/>
      <c r="E69" s="503"/>
      <c r="F69" s="503"/>
      <c r="G69" s="503"/>
      <c r="H69" s="503"/>
    </row>
    <row r="70" spans="1:8" s="1" customFormat="1" ht="20.100000000000001" customHeight="1" x14ac:dyDescent="0.2">
      <c r="A70" s="499" t="s">
        <v>305</v>
      </c>
      <c r="B70" s="500"/>
      <c r="C70" s="500"/>
      <c r="D70" s="500"/>
      <c r="E70" s="500"/>
      <c r="F70" s="500"/>
      <c r="G70" s="500"/>
      <c r="H70" s="501"/>
    </row>
    <row r="71" spans="1:8" s="1" customFormat="1" ht="20.100000000000001" customHeight="1" x14ac:dyDescent="0.2">
      <c r="A71" s="507" t="s">
        <v>283</v>
      </c>
      <c r="B71" s="506" t="s">
        <v>284</v>
      </c>
      <c r="C71" s="506"/>
      <c r="D71" s="506"/>
      <c r="E71" s="506" t="s">
        <v>285</v>
      </c>
      <c r="F71" s="506"/>
      <c r="G71" s="506"/>
      <c r="H71" s="498" t="s">
        <v>150</v>
      </c>
    </row>
    <row r="72" spans="1:8" s="1" customFormat="1" ht="20.100000000000001" customHeight="1" thickBot="1" x14ac:dyDescent="0.25">
      <c r="A72" s="508"/>
      <c r="B72" s="383" t="s">
        <v>286</v>
      </c>
      <c r="C72" s="383" t="s">
        <v>287</v>
      </c>
      <c r="D72" s="383" t="s">
        <v>150</v>
      </c>
      <c r="E72" s="383" t="s">
        <v>286</v>
      </c>
      <c r="F72" s="383" t="s">
        <v>287</v>
      </c>
      <c r="G72" s="383" t="s">
        <v>150</v>
      </c>
      <c r="H72" s="498"/>
    </row>
    <row r="73" spans="1:8" s="1" customFormat="1" ht="20.100000000000001" customHeight="1" x14ac:dyDescent="0.2">
      <c r="A73" s="21" t="s">
        <v>142</v>
      </c>
      <c r="B73" s="13">
        <v>370448</v>
      </c>
      <c r="C73" s="13">
        <v>82277</v>
      </c>
      <c r="D73" s="14">
        <f>B73+C73</f>
        <v>452725</v>
      </c>
      <c r="E73" s="13">
        <v>30117</v>
      </c>
      <c r="F73" s="13">
        <v>12406</v>
      </c>
      <c r="G73" s="18">
        <f>E73+F73</f>
        <v>42523</v>
      </c>
      <c r="H73" s="20">
        <f>SUM(D73,G73)</f>
        <v>495248</v>
      </c>
    </row>
    <row r="74" spans="1:8" s="1" customFormat="1" ht="20.100000000000001" customHeight="1" x14ac:dyDescent="0.2">
      <c r="A74" s="384" t="s">
        <v>288</v>
      </c>
      <c r="B74" s="13">
        <v>0</v>
      </c>
      <c r="C74" s="13">
        <v>0</v>
      </c>
      <c r="D74" s="14">
        <f>B74+C74</f>
        <v>0</v>
      </c>
      <c r="E74" s="13">
        <v>0</v>
      </c>
      <c r="F74" s="13">
        <v>0</v>
      </c>
      <c r="G74" s="18">
        <f>E74+F74</f>
        <v>0</v>
      </c>
      <c r="H74" s="20">
        <f>SUM(D74,G74)</f>
        <v>0</v>
      </c>
    </row>
    <row r="75" spans="1:8" s="1" customFormat="1" ht="20.100000000000001" customHeight="1" x14ac:dyDescent="0.2">
      <c r="A75" s="384" t="s">
        <v>289</v>
      </c>
      <c r="B75" s="112">
        <v>0</v>
      </c>
      <c r="C75" s="112">
        <v>0</v>
      </c>
      <c r="D75" s="113">
        <f t="shared" ref="D75:D88" si="12">B75+C75</f>
        <v>0</v>
      </c>
      <c r="E75" s="112">
        <v>995829</v>
      </c>
      <c r="F75" s="112">
        <v>0</v>
      </c>
      <c r="G75" s="19">
        <f t="shared" ref="G75:G88" si="13">E75+F75</f>
        <v>995829</v>
      </c>
      <c r="H75" s="20">
        <f t="shared" ref="H75:H88" si="14">SUM(D75,G75)</f>
        <v>995829</v>
      </c>
    </row>
    <row r="76" spans="1:8" s="1" customFormat="1" ht="20.100000000000001" customHeight="1" x14ac:dyDescent="0.2">
      <c r="A76" s="384" t="s">
        <v>290</v>
      </c>
      <c r="B76" s="112">
        <v>0</v>
      </c>
      <c r="C76" s="112">
        <v>0</v>
      </c>
      <c r="D76" s="113">
        <f t="shared" si="12"/>
        <v>0</v>
      </c>
      <c r="E76" s="112">
        <v>21416</v>
      </c>
      <c r="F76" s="112">
        <v>0</v>
      </c>
      <c r="G76" s="19">
        <f t="shared" si="13"/>
        <v>21416</v>
      </c>
      <c r="H76" s="20">
        <f t="shared" si="14"/>
        <v>21416</v>
      </c>
    </row>
    <row r="77" spans="1:8" s="1" customFormat="1" ht="20.100000000000001" customHeight="1" x14ac:dyDescent="0.2">
      <c r="A77" s="28" t="s">
        <v>291</v>
      </c>
      <c r="B77" s="112">
        <v>0</v>
      </c>
      <c r="C77" s="112">
        <v>0</v>
      </c>
      <c r="D77" s="113">
        <f t="shared" si="12"/>
        <v>0</v>
      </c>
      <c r="E77" s="112">
        <v>0</v>
      </c>
      <c r="F77" s="112">
        <v>0</v>
      </c>
      <c r="G77" s="19">
        <f t="shared" si="13"/>
        <v>0</v>
      </c>
      <c r="H77" s="20">
        <f t="shared" si="14"/>
        <v>0</v>
      </c>
    </row>
    <row r="78" spans="1:8" s="1" customFormat="1" ht="20.100000000000001" customHeight="1" x14ac:dyDescent="0.2">
      <c r="A78" s="384" t="s">
        <v>292</v>
      </c>
      <c r="B78" s="112">
        <v>0</v>
      </c>
      <c r="C78" s="112">
        <v>0</v>
      </c>
      <c r="D78" s="113">
        <f t="shared" si="12"/>
        <v>0</v>
      </c>
      <c r="E78" s="112">
        <v>0</v>
      </c>
      <c r="F78" s="112">
        <v>0</v>
      </c>
      <c r="G78" s="19">
        <f t="shared" si="13"/>
        <v>0</v>
      </c>
      <c r="H78" s="20">
        <f t="shared" si="14"/>
        <v>0</v>
      </c>
    </row>
    <row r="79" spans="1:8" s="1" customFormat="1" ht="20.100000000000001" customHeight="1" x14ac:dyDescent="0.2">
      <c r="A79" s="384" t="s">
        <v>293</v>
      </c>
      <c r="B79" s="112">
        <v>0</v>
      </c>
      <c r="C79" s="112">
        <v>0</v>
      </c>
      <c r="D79" s="113">
        <f t="shared" si="12"/>
        <v>0</v>
      </c>
      <c r="E79" s="112">
        <v>0</v>
      </c>
      <c r="F79" s="112">
        <v>0</v>
      </c>
      <c r="G79" s="19">
        <f t="shared" si="13"/>
        <v>0</v>
      </c>
      <c r="H79" s="20">
        <f t="shared" si="14"/>
        <v>0</v>
      </c>
    </row>
    <row r="80" spans="1:8" s="1" customFormat="1" ht="20.100000000000001" customHeight="1" x14ac:dyDescent="0.2">
      <c r="A80" s="384" t="s">
        <v>294</v>
      </c>
      <c r="B80" s="112">
        <v>0</v>
      </c>
      <c r="C80" s="112">
        <v>0</v>
      </c>
      <c r="D80" s="113">
        <f t="shared" si="12"/>
        <v>0</v>
      </c>
      <c r="E80" s="112">
        <v>0</v>
      </c>
      <c r="F80" s="112">
        <v>0</v>
      </c>
      <c r="G80" s="19">
        <f t="shared" si="13"/>
        <v>0</v>
      </c>
      <c r="H80" s="20">
        <f t="shared" si="14"/>
        <v>0</v>
      </c>
    </row>
    <row r="81" spans="1:8" s="1" customFormat="1" ht="20.100000000000001" customHeight="1" x14ac:dyDescent="0.2">
      <c r="A81" s="384" t="s">
        <v>295</v>
      </c>
      <c r="B81" s="112">
        <v>0</v>
      </c>
      <c r="C81" s="112">
        <v>0</v>
      </c>
      <c r="D81" s="113">
        <f t="shared" si="12"/>
        <v>0</v>
      </c>
      <c r="E81" s="112">
        <v>0</v>
      </c>
      <c r="F81" s="112">
        <v>0</v>
      </c>
      <c r="G81" s="19">
        <f t="shared" si="13"/>
        <v>0</v>
      </c>
      <c r="H81" s="20">
        <f t="shared" si="14"/>
        <v>0</v>
      </c>
    </row>
    <row r="82" spans="1:8" s="1" customFormat="1" ht="20.100000000000001" customHeight="1" x14ac:dyDescent="0.2">
      <c r="A82" s="384" t="s">
        <v>296</v>
      </c>
      <c r="B82" s="112">
        <v>0</v>
      </c>
      <c r="C82" s="112">
        <v>0</v>
      </c>
      <c r="D82" s="113">
        <f t="shared" si="12"/>
        <v>0</v>
      </c>
      <c r="E82" s="112">
        <v>0</v>
      </c>
      <c r="F82" s="112">
        <v>0</v>
      </c>
      <c r="G82" s="19">
        <f t="shared" si="13"/>
        <v>0</v>
      </c>
      <c r="H82" s="20">
        <f t="shared" si="14"/>
        <v>0</v>
      </c>
    </row>
    <row r="83" spans="1:8" s="1" customFormat="1" ht="20.100000000000001" customHeight="1" x14ac:dyDescent="0.2">
      <c r="A83" s="384" t="s">
        <v>297</v>
      </c>
      <c r="B83" s="112">
        <v>0</v>
      </c>
      <c r="C83" s="112">
        <v>0</v>
      </c>
      <c r="D83" s="113">
        <f t="shared" si="12"/>
        <v>0</v>
      </c>
      <c r="E83" s="112">
        <v>0</v>
      </c>
      <c r="F83" s="112">
        <v>0</v>
      </c>
      <c r="G83" s="19">
        <f t="shared" si="13"/>
        <v>0</v>
      </c>
      <c r="H83" s="20">
        <f t="shared" si="14"/>
        <v>0</v>
      </c>
    </row>
    <row r="84" spans="1:8" s="1" customFormat="1" ht="20.100000000000001" customHeight="1" x14ac:dyDescent="0.2">
      <c r="A84" s="384" t="s">
        <v>298</v>
      </c>
      <c r="B84" s="112">
        <v>46384</v>
      </c>
      <c r="C84" s="112">
        <v>0</v>
      </c>
      <c r="D84" s="113">
        <f t="shared" si="12"/>
        <v>46384</v>
      </c>
      <c r="E84" s="112">
        <v>0</v>
      </c>
      <c r="F84" s="112">
        <v>0</v>
      </c>
      <c r="G84" s="19">
        <f t="shared" si="13"/>
        <v>0</v>
      </c>
      <c r="H84" s="20">
        <f t="shared" si="14"/>
        <v>46384</v>
      </c>
    </row>
    <row r="85" spans="1:8" s="1" customFormat="1" ht="20.100000000000001" customHeight="1" x14ac:dyDescent="0.2">
      <c r="A85" s="384" t="s">
        <v>299</v>
      </c>
      <c r="B85" s="112">
        <v>0</v>
      </c>
      <c r="C85" s="112">
        <v>0</v>
      </c>
      <c r="D85" s="113">
        <f t="shared" si="12"/>
        <v>0</v>
      </c>
      <c r="E85" s="112">
        <v>0</v>
      </c>
      <c r="F85" s="112">
        <v>0</v>
      </c>
      <c r="G85" s="19">
        <f t="shared" si="13"/>
        <v>0</v>
      </c>
      <c r="H85" s="20">
        <f t="shared" si="14"/>
        <v>0</v>
      </c>
    </row>
    <row r="86" spans="1:8" s="1" customFormat="1" ht="20.100000000000001" customHeight="1" x14ac:dyDescent="0.2">
      <c r="A86" s="384" t="s">
        <v>300</v>
      </c>
      <c r="B86" s="112">
        <v>97670</v>
      </c>
      <c r="C86" s="112">
        <v>0</v>
      </c>
      <c r="D86" s="113">
        <f t="shared" si="12"/>
        <v>97670</v>
      </c>
      <c r="E86" s="112">
        <v>0</v>
      </c>
      <c r="F86" s="112">
        <v>0</v>
      </c>
      <c r="G86" s="19">
        <f t="shared" si="13"/>
        <v>0</v>
      </c>
      <c r="H86" s="20">
        <f t="shared" si="14"/>
        <v>97670</v>
      </c>
    </row>
    <row r="87" spans="1:8" s="1" customFormat="1" ht="20.100000000000001" customHeight="1" x14ac:dyDescent="0.2">
      <c r="A87" s="384" t="s">
        <v>301</v>
      </c>
      <c r="B87" s="112">
        <v>11396</v>
      </c>
      <c r="C87" s="112">
        <v>0</v>
      </c>
      <c r="D87" s="113">
        <f t="shared" si="12"/>
        <v>11396</v>
      </c>
      <c r="E87" s="112">
        <v>2722</v>
      </c>
      <c r="F87" s="112">
        <v>0</v>
      </c>
      <c r="G87" s="19">
        <f t="shared" si="13"/>
        <v>2722</v>
      </c>
      <c r="H87" s="20">
        <f t="shared" si="14"/>
        <v>14118</v>
      </c>
    </row>
    <row r="88" spans="1:8" s="1" customFormat="1" ht="20.100000000000001" customHeight="1" x14ac:dyDescent="0.2">
      <c r="A88" s="384" t="s">
        <v>302</v>
      </c>
      <c r="B88" s="112">
        <v>0</v>
      </c>
      <c r="C88" s="112">
        <v>0</v>
      </c>
      <c r="D88" s="113">
        <f t="shared" si="12"/>
        <v>0</v>
      </c>
      <c r="E88" s="112">
        <v>0</v>
      </c>
      <c r="F88" s="112">
        <v>0</v>
      </c>
      <c r="G88" s="19">
        <f t="shared" si="13"/>
        <v>0</v>
      </c>
      <c r="H88" s="20">
        <f t="shared" si="14"/>
        <v>0</v>
      </c>
    </row>
    <row r="89" spans="1:8" s="1" customFormat="1" ht="20.100000000000001" customHeight="1" thickBot="1" x14ac:dyDescent="0.25">
      <c r="A89" s="16" t="s">
        <v>150</v>
      </c>
      <c r="B89" s="17">
        <f t="shared" ref="B89:H89" si="15">SUM(B73:B88)</f>
        <v>525898</v>
      </c>
      <c r="C89" s="17">
        <f t="shared" si="15"/>
        <v>82277</v>
      </c>
      <c r="D89" s="17">
        <f t="shared" si="15"/>
        <v>608175</v>
      </c>
      <c r="E89" s="17">
        <f t="shared" si="15"/>
        <v>1050084</v>
      </c>
      <c r="F89" s="17">
        <f t="shared" si="15"/>
        <v>12406</v>
      </c>
      <c r="G89" s="17">
        <f t="shared" si="15"/>
        <v>1062490</v>
      </c>
      <c r="H89" s="17">
        <f t="shared" si="15"/>
        <v>1670665</v>
      </c>
    </row>
    <row r="90" spans="1:8" s="1" customFormat="1" ht="20.100000000000001" customHeight="1" thickBot="1" x14ac:dyDescent="0.25">
      <c r="A90" s="502"/>
      <c r="B90" s="503"/>
      <c r="C90" s="503"/>
      <c r="D90" s="503"/>
      <c r="E90" s="503"/>
      <c r="F90" s="503"/>
      <c r="G90" s="503"/>
      <c r="H90" s="503"/>
    </row>
    <row r="91" spans="1:8" s="1" customFormat="1" ht="20.100000000000001" customHeight="1" x14ac:dyDescent="0.2">
      <c r="A91" s="499" t="s">
        <v>306</v>
      </c>
      <c r="B91" s="500"/>
      <c r="C91" s="500"/>
      <c r="D91" s="500"/>
      <c r="E91" s="500"/>
      <c r="F91" s="500"/>
      <c r="G91" s="500"/>
      <c r="H91" s="501"/>
    </row>
    <row r="92" spans="1:8" s="1" customFormat="1" ht="20.100000000000001" customHeight="1" x14ac:dyDescent="0.2">
      <c r="A92" s="504" t="s">
        <v>283</v>
      </c>
      <c r="B92" s="506" t="s">
        <v>284</v>
      </c>
      <c r="C92" s="506"/>
      <c r="D92" s="506"/>
      <c r="E92" s="506" t="s">
        <v>285</v>
      </c>
      <c r="F92" s="506"/>
      <c r="G92" s="506"/>
      <c r="H92" s="498" t="s">
        <v>150</v>
      </c>
    </row>
    <row r="93" spans="1:8" s="1" customFormat="1" ht="20.100000000000001" customHeight="1" x14ac:dyDescent="0.2">
      <c r="A93" s="505"/>
      <c r="B93" s="383" t="s">
        <v>286</v>
      </c>
      <c r="C93" s="383" t="s">
        <v>287</v>
      </c>
      <c r="D93" s="383" t="s">
        <v>150</v>
      </c>
      <c r="E93" s="383" t="s">
        <v>286</v>
      </c>
      <c r="F93" s="383" t="s">
        <v>287</v>
      </c>
      <c r="G93" s="383" t="s">
        <v>150</v>
      </c>
      <c r="H93" s="498"/>
    </row>
    <row r="94" spans="1:8" s="1" customFormat="1" ht="20.100000000000001" customHeight="1" x14ac:dyDescent="0.2">
      <c r="A94" s="21" t="s">
        <v>142</v>
      </c>
      <c r="B94" s="13">
        <v>385266</v>
      </c>
      <c r="C94" s="13">
        <v>85568</v>
      </c>
      <c r="D94" s="14">
        <f>B94+C94</f>
        <v>470834</v>
      </c>
      <c r="E94" s="13">
        <v>31322</v>
      </c>
      <c r="F94" s="13">
        <v>12902</v>
      </c>
      <c r="G94" s="18">
        <f>E94+F94</f>
        <v>44224</v>
      </c>
      <c r="H94" s="20">
        <f>SUM(D94,G94)</f>
        <v>515058</v>
      </c>
    </row>
    <row r="95" spans="1:8" s="1" customFormat="1" ht="20.100000000000001" customHeight="1" x14ac:dyDescent="0.2">
      <c r="A95" s="384" t="s">
        <v>288</v>
      </c>
      <c r="B95" s="13">
        <v>0</v>
      </c>
      <c r="C95" s="13">
        <v>0</v>
      </c>
      <c r="D95" s="14">
        <f>B95+C95</f>
        <v>0</v>
      </c>
      <c r="E95" s="13">
        <v>0</v>
      </c>
      <c r="F95" s="13">
        <v>0</v>
      </c>
      <c r="G95" s="18">
        <f>E95+F95</f>
        <v>0</v>
      </c>
      <c r="H95" s="20">
        <f>SUM(D95,G95)</f>
        <v>0</v>
      </c>
    </row>
    <row r="96" spans="1:8" s="1" customFormat="1" ht="20.100000000000001" customHeight="1" x14ac:dyDescent="0.2">
      <c r="A96" s="384" t="s">
        <v>289</v>
      </c>
      <c r="B96" s="112">
        <v>0</v>
      </c>
      <c r="C96" s="112">
        <v>0</v>
      </c>
      <c r="D96" s="113">
        <f t="shared" ref="D96:D109" si="16">B96+C96</f>
        <v>0</v>
      </c>
      <c r="E96" s="112">
        <v>1035662</v>
      </c>
      <c r="F96" s="112">
        <v>0</v>
      </c>
      <c r="G96" s="19">
        <f t="shared" ref="G96:G109" si="17">E96+F96</f>
        <v>1035662</v>
      </c>
      <c r="H96" s="20">
        <f t="shared" ref="H96:H109" si="18">SUM(D96,G96)</f>
        <v>1035662</v>
      </c>
    </row>
    <row r="97" spans="1:8" s="1" customFormat="1" ht="20.100000000000001" customHeight="1" x14ac:dyDescent="0.2">
      <c r="A97" s="384" t="s">
        <v>290</v>
      </c>
      <c r="B97" s="112">
        <v>0</v>
      </c>
      <c r="C97" s="112">
        <v>0</v>
      </c>
      <c r="D97" s="113">
        <f t="shared" si="16"/>
        <v>0</v>
      </c>
      <c r="E97" s="112">
        <v>22272</v>
      </c>
      <c r="F97" s="112">
        <v>0</v>
      </c>
      <c r="G97" s="19">
        <f t="shared" si="17"/>
        <v>22272</v>
      </c>
      <c r="H97" s="20">
        <f t="shared" si="18"/>
        <v>22272</v>
      </c>
    </row>
    <row r="98" spans="1:8" s="1" customFormat="1" ht="20.100000000000001" customHeight="1" x14ac:dyDescent="0.2">
      <c r="A98" s="28" t="s">
        <v>291</v>
      </c>
      <c r="B98" s="112">
        <v>0</v>
      </c>
      <c r="C98" s="112">
        <v>0</v>
      </c>
      <c r="D98" s="113">
        <f t="shared" si="16"/>
        <v>0</v>
      </c>
      <c r="E98" s="112">
        <v>0</v>
      </c>
      <c r="F98" s="112">
        <v>0</v>
      </c>
      <c r="G98" s="19">
        <f t="shared" si="17"/>
        <v>0</v>
      </c>
      <c r="H98" s="20">
        <f t="shared" si="18"/>
        <v>0</v>
      </c>
    </row>
    <row r="99" spans="1:8" s="1" customFormat="1" ht="20.100000000000001" customHeight="1" x14ac:dyDescent="0.2">
      <c r="A99" s="384" t="s">
        <v>292</v>
      </c>
      <c r="B99" s="112">
        <v>0</v>
      </c>
      <c r="C99" s="112">
        <v>0</v>
      </c>
      <c r="D99" s="113">
        <f t="shared" si="16"/>
        <v>0</v>
      </c>
      <c r="E99" s="112">
        <v>0</v>
      </c>
      <c r="F99" s="112">
        <v>0</v>
      </c>
      <c r="G99" s="19">
        <f t="shared" si="17"/>
        <v>0</v>
      </c>
      <c r="H99" s="20">
        <f t="shared" si="18"/>
        <v>0</v>
      </c>
    </row>
    <row r="100" spans="1:8" s="1" customFormat="1" ht="20.100000000000001" customHeight="1" x14ac:dyDescent="0.2">
      <c r="A100" s="384" t="s">
        <v>293</v>
      </c>
      <c r="B100" s="112">
        <v>0</v>
      </c>
      <c r="C100" s="112">
        <v>0</v>
      </c>
      <c r="D100" s="113">
        <f t="shared" si="16"/>
        <v>0</v>
      </c>
      <c r="E100" s="112">
        <v>0</v>
      </c>
      <c r="F100" s="112">
        <v>0</v>
      </c>
      <c r="G100" s="19">
        <f t="shared" si="17"/>
        <v>0</v>
      </c>
      <c r="H100" s="20">
        <f t="shared" si="18"/>
        <v>0</v>
      </c>
    </row>
    <row r="101" spans="1:8" s="1" customFormat="1" ht="20.100000000000001" customHeight="1" x14ac:dyDescent="0.2">
      <c r="A101" s="384" t="s">
        <v>294</v>
      </c>
      <c r="B101" s="112">
        <v>0</v>
      </c>
      <c r="C101" s="112">
        <v>0</v>
      </c>
      <c r="D101" s="113">
        <f t="shared" si="16"/>
        <v>0</v>
      </c>
      <c r="E101" s="112">
        <v>0</v>
      </c>
      <c r="F101" s="112">
        <v>0</v>
      </c>
      <c r="G101" s="19">
        <f t="shared" si="17"/>
        <v>0</v>
      </c>
      <c r="H101" s="20">
        <f t="shared" si="18"/>
        <v>0</v>
      </c>
    </row>
    <row r="102" spans="1:8" s="1" customFormat="1" ht="20.100000000000001" customHeight="1" x14ac:dyDescent="0.2">
      <c r="A102" s="384" t="s">
        <v>295</v>
      </c>
      <c r="B102" s="112">
        <v>0</v>
      </c>
      <c r="C102" s="112">
        <v>0</v>
      </c>
      <c r="D102" s="113">
        <f t="shared" si="16"/>
        <v>0</v>
      </c>
      <c r="E102" s="112">
        <v>0</v>
      </c>
      <c r="F102" s="112">
        <v>0</v>
      </c>
      <c r="G102" s="19">
        <f t="shared" si="17"/>
        <v>0</v>
      </c>
      <c r="H102" s="20">
        <f t="shared" si="18"/>
        <v>0</v>
      </c>
    </row>
    <row r="103" spans="1:8" s="1" customFormat="1" ht="20.100000000000001" customHeight="1" x14ac:dyDescent="0.2">
      <c r="A103" s="384" t="s">
        <v>296</v>
      </c>
      <c r="B103" s="112">
        <v>0</v>
      </c>
      <c r="C103" s="112">
        <v>0</v>
      </c>
      <c r="D103" s="113">
        <f t="shared" si="16"/>
        <v>0</v>
      </c>
      <c r="E103" s="112">
        <v>0</v>
      </c>
      <c r="F103" s="112">
        <v>0</v>
      </c>
      <c r="G103" s="19">
        <f t="shared" si="17"/>
        <v>0</v>
      </c>
      <c r="H103" s="20">
        <f t="shared" si="18"/>
        <v>0</v>
      </c>
    </row>
    <row r="104" spans="1:8" s="1" customFormat="1" ht="20.100000000000001" customHeight="1" x14ac:dyDescent="0.2">
      <c r="A104" s="384" t="s">
        <v>297</v>
      </c>
      <c r="B104" s="112">
        <v>0</v>
      </c>
      <c r="C104" s="112">
        <v>0</v>
      </c>
      <c r="D104" s="113">
        <f t="shared" si="16"/>
        <v>0</v>
      </c>
      <c r="E104" s="112">
        <v>0</v>
      </c>
      <c r="F104" s="112">
        <v>0</v>
      </c>
      <c r="G104" s="19">
        <f t="shared" si="17"/>
        <v>0</v>
      </c>
      <c r="H104" s="20">
        <f t="shared" si="18"/>
        <v>0</v>
      </c>
    </row>
    <row r="105" spans="1:8" s="1" customFormat="1" ht="20.100000000000001" customHeight="1" x14ac:dyDescent="0.2">
      <c r="A105" s="384" t="s">
        <v>298</v>
      </c>
      <c r="B105" s="112">
        <v>48240</v>
      </c>
      <c r="C105" s="112">
        <v>0</v>
      </c>
      <c r="D105" s="113">
        <f t="shared" si="16"/>
        <v>48240</v>
      </c>
      <c r="E105" s="112">
        <v>0</v>
      </c>
      <c r="F105" s="112">
        <v>0</v>
      </c>
      <c r="G105" s="19">
        <f t="shared" si="17"/>
        <v>0</v>
      </c>
      <c r="H105" s="20">
        <f t="shared" si="18"/>
        <v>48240</v>
      </c>
    </row>
    <row r="106" spans="1:8" s="1" customFormat="1" ht="20.100000000000001" customHeight="1" x14ac:dyDescent="0.2">
      <c r="A106" s="384" t="s">
        <v>299</v>
      </c>
      <c r="B106" s="112">
        <v>0</v>
      </c>
      <c r="C106" s="112">
        <v>0</v>
      </c>
      <c r="D106" s="113">
        <f t="shared" si="16"/>
        <v>0</v>
      </c>
      <c r="E106" s="112">
        <v>0</v>
      </c>
      <c r="F106" s="112">
        <v>0</v>
      </c>
      <c r="G106" s="19">
        <f t="shared" si="17"/>
        <v>0</v>
      </c>
      <c r="H106" s="20">
        <f t="shared" si="18"/>
        <v>0</v>
      </c>
    </row>
    <row r="107" spans="1:8" s="1" customFormat="1" ht="20.100000000000001" customHeight="1" x14ac:dyDescent="0.2">
      <c r="A107" s="384" t="s">
        <v>300</v>
      </c>
      <c r="B107" s="112">
        <v>101576</v>
      </c>
      <c r="C107" s="112">
        <v>0</v>
      </c>
      <c r="D107" s="113">
        <f t="shared" si="16"/>
        <v>101576</v>
      </c>
      <c r="E107" s="112">
        <v>0</v>
      </c>
      <c r="F107" s="112">
        <v>0</v>
      </c>
      <c r="G107" s="19">
        <f t="shared" si="17"/>
        <v>0</v>
      </c>
      <c r="H107" s="20">
        <f t="shared" si="18"/>
        <v>101576</v>
      </c>
    </row>
    <row r="108" spans="1:8" s="1" customFormat="1" ht="20.100000000000001" customHeight="1" x14ac:dyDescent="0.2">
      <c r="A108" s="384" t="s">
        <v>301</v>
      </c>
      <c r="B108" s="112">
        <v>11852</v>
      </c>
      <c r="C108" s="112">
        <v>0</v>
      </c>
      <c r="D108" s="113">
        <f t="shared" si="16"/>
        <v>11852</v>
      </c>
      <c r="E108" s="112">
        <v>2831</v>
      </c>
      <c r="F108" s="112">
        <v>0</v>
      </c>
      <c r="G108" s="19">
        <f t="shared" si="17"/>
        <v>2831</v>
      </c>
      <c r="H108" s="20">
        <f t="shared" si="18"/>
        <v>14683</v>
      </c>
    </row>
    <row r="109" spans="1:8" s="1" customFormat="1" ht="20.100000000000001" customHeight="1" x14ac:dyDescent="0.2">
      <c r="A109" s="384" t="s">
        <v>302</v>
      </c>
      <c r="B109" s="112">
        <v>0</v>
      </c>
      <c r="C109" s="112">
        <v>0</v>
      </c>
      <c r="D109" s="113">
        <f t="shared" si="16"/>
        <v>0</v>
      </c>
      <c r="E109" s="112">
        <v>0</v>
      </c>
      <c r="F109" s="112">
        <v>0</v>
      </c>
      <c r="G109" s="19">
        <f t="shared" si="17"/>
        <v>0</v>
      </c>
      <c r="H109" s="20">
        <f t="shared" si="18"/>
        <v>0</v>
      </c>
    </row>
    <row r="110" spans="1:8" s="1" customFormat="1" ht="20.100000000000001" customHeight="1" thickBot="1" x14ac:dyDescent="0.25">
      <c r="A110" s="16" t="s">
        <v>150</v>
      </c>
      <c r="B110" s="17">
        <f t="shared" ref="B110:H110" si="19">SUM(B94:B109)</f>
        <v>546934</v>
      </c>
      <c r="C110" s="17">
        <f t="shared" si="19"/>
        <v>85568</v>
      </c>
      <c r="D110" s="17">
        <f t="shared" si="19"/>
        <v>632502</v>
      </c>
      <c r="E110" s="17">
        <f t="shared" si="19"/>
        <v>1092087</v>
      </c>
      <c r="F110" s="17">
        <f t="shared" si="19"/>
        <v>12902</v>
      </c>
      <c r="G110" s="17">
        <f t="shared" si="19"/>
        <v>1104989</v>
      </c>
      <c r="H110" s="17">
        <f t="shared" si="19"/>
        <v>1737491</v>
      </c>
    </row>
    <row r="111" spans="1:8" ht="20.100000000000001" customHeight="1" x14ac:dyDescent="0.2"/>
    <row r="112" spans="1:8" ht="20.100000000000001" customHeight="1" thickBot="1" x14ac:dyDescent="0.25"/>
    <row r="113" spans="1:14" s="1" customFormat="1" ht="20.100000000000001" customHeight="1" thickBot="1" x14ac:dyDescent="0.25">
      <c r="A113" s="555" t="s">
        <v>283</v>
      </c>
      <c r="B113" s="556"/>
      <c r="C113" s="556"/>
      <c r="D113" s="557"/>
      <c r="E113" s="22" t="s">
        <v>307</v>
      </c>
      <c r="F113" s="561" t="s">
        <v>308</v>
      </c>
      <c r="G113" s="562"/>
      <c r="H113" s="563"/>
    </row>
    <row r="114" spans="1:14" s="1" customFormat="1" ht="20.100000000000001" customHeight="1" x14ac:dyDescent="0.2">
      <c r="A114" s="558" t="s">
        <v>142</v>
      </c>
      <c r="B114" s="559"/>
      <c r="C114" s="559"/>
      <c r="D114" s="560"/>
      <c r="E114" s="26" t="s">
        <v>309</v>
      </c>
      <c r="F114" s="548" t="s">
        <v>310</v>
      </c>
      <c r="G114" s="549"/>
      <c r="H114" s="550"/>
    </row>
    <row r="115" spans="1:14" s="1" customFormat="1" ht="20.100000000000001" customHeight="1" x14ac:dyDescent="0.2">
      <c r="A115" s="552" t="s">
        <v>288</v>
      </c>
      <c r="B115" s="553"/>
      <c r="C115" s="553"/>
      <c r="D115" s="554"/>
      <c r="E115" s="26" t="s">
        <v>311</v>
      </c>
      <c r="F115" s="512" t="s">
        <v>312</v>
      </c>
      <c r="G115" s="513"/>
      <c r="H115" s="514"/>
      <c r="K115" s="551"/>
      <c r="L115" s="551"/>
      <c r="M115" s="551"/>
      <c r="N115" s="551"/>
    </row>
    <row r="116" spans="1:14" s="1" customFormat="1" ht="20.100000000000001" customHeight="1" x14ac:dyDescent="0.2">
      <c r="A116" s="530" t="s">
        <v>289</v>
      </c>
      <c r="B116" s="531"/>
      <c r="C116" s="531"/>
      <c r="D116" s="532"/>
      <c r="E116" s="26" t="s">
        <v>313</v>
      </c>
      <c r="F116" s="509" t="s">
        <v>314</v>
      </c>
      <c r="G116" s="510"/>
      <c r="H116" s="511"/>
      <c r="K116" s="385"/>
      <c r="L116" s="385"/>
      <c r="M116" s="385"/>
      <c r="N116" s="385"/>
    </row>
    <row r="117" spans="1:14" s="1" customFormat="1" ht="20.100000000000001" customHeight="1" x14ac:dyDescent="0.2">
      <c r="A117" s="530" t="s">
        <v>290</v>
      </c>
      <c r="B117" s="531"/>
      <c r="C117" s="531"/>
      <c r="D117" s="532"/>
      <c r="E117" s="26" t="s">
        <v>315</v>
      </c>
      <c r="F117" s="509" t="s">
        <v>316</v>
      </c>
      <c r="G117" s="510"/>
      <c r="H117" s="511"/>
      <c r="K117" s="385"/>
      <c r="L117" s="385"/>
      <c r="M117" s="385"/>
      <c r="N117" s="385"/>
    </row>
    <row r="118" spans="1:14" s="1" customFormat="1" ht="20.100000000000001" customHeight="1" x14ac:dyDescent="0.2">
      <c r="A118" s="542" t="s">
        <v>291</v>
      </c>
      <c r="B118" s="543"/>
      <c r="C118" s="543"/>
      <c r="D118" s="544"/>
      <c r="E118" s="26" t="s">
        <v>317</v>
      </c>
      <c r="F118" s="545" t="s">
        <v>318</v>
      </c>
      <c r="G118" s="546"/>
      <c r="H118" s="547"/>
      <c r="K118" s="385"/>
      <c r="L118" s="385"/>
      <c r="M118" s="385"/>
      <c r="N118" s="385"/>
    </row>
    <row r="119" spans="1:14" s="1" customFormat="1" ht="20.100000000000001" customHeight="1" x14ac:dyDescent="0.2">
      <c r="A119" s="530" t="s">
        <v>292</v>
      </c>
      <c r="B119" s="531"/>
      <c r="C119" s="531"/>
      <c r="D119" s="532"/>
      <c r="E119" s="26" t="s">
        <v>319</v>
      </c>
      <c r="F119" s="509" t="s">
        <v>320</v>
      </c>
      <c r="G119" s="510"/>
      <c r="H119" s="511"/>
      <c r="K119" s="385"/>
      <c r="L119" s="385"/>
      <c r="M119" s="385"/>
      <c r="N119" s="385"/>
    </row>
    <row r="120" spans="1:14" s="1" customFormat="1" ht="20.100000000000001" customHeight="1" x14ac:dyDescent="0.2">
      <c r="A120" s="530" t="s">
        <v>293</v>
      </c>
      <c r="B120" s="531"/>
      <c r="C120" s="531"/>
      <c r="D120" s="532"/>
      <c r="E120" s="26" t="s">
        <v>321</v>
      </c>
      <c r="F120" s="509" t="s">
        <v>322</v>
      </c>
      <c r="G120" s="510"/>
      <c r="H120" s="511"/>
      <c r="K120" s="385"/>
      <c r="L120" s="385"/>
      <c r="M120" s="385"/>
      <c r="N120" s="385"/>
    </row>
    <row r="121" spans="1:14" s="1" customFormat="1" ht="20.100000000000001" customHeight="1" x14ac:dyDescent="0.2">
      <c r="A121" s="530" t="s">
        <v>294</v>
      </c>
      <c r="B121" s="531"/>
      <c r="C121" s="531"/>
      <c r="D121" s="532"/>
      <c r="E121" s="26" t="s">
        <v>323</v>
      </c>
      <c r="F121" s="509" t="s">
        <v>324</v>
      </c>
      <c r="G121" s="510"/>
      <c r="H121" s="511"/>
      <c r="K121" s="385"/>
      <c r="L121" s="385"/>
      <c r="M121" s="385"/>
      <c r="N121" s="385"/>
    </row>
    <row r="122" spans="1:14" s="1" customFormat="1" ht="20.100000000000001" customHeight="1" x14ac:dyDescent="0.2">
      <c r="A122" s="530" t="s">
        <v>295</v>
      </c>
      <c r="B122" s="531"/>
      <c r="C122" s="531"/>
      <c r="D122" s="532"/>
      <c r="E122" s="26" t="s">
        <v>325</v>
      </c>
      <c r="F122" s="509" t="s">
        <v>326</v>
      </c>
      <c r="G122" s="510"/>
      <c r="H122" s="511"/>
      <c r="K122" s="385"/>
      <c r="L122" s="385"/>
      <c r="M122" s="385"/>
      <c r="N122" s="385"/>
    </row>
    <row r="123" spans="1:14" s="1" customFormat="1" ht="20.100000000000001" customHeight="1" x14ac:dyDescent="0.2">
      <c r="A123" s="530" t="s">
        <v>327</v>
      </c>
      <c r="B123" s="531"/>
      <c r="C123" s="531"/>
      <c r="D123" s="532"/>
      <c r="E123" s="27"/>
      <c r="F123" s="515"/>
      <c r="G123" s="516"/>
      <c r="H123" s="517"/>
      <c r="K123" s="385"/>
      <c r="L123" s="385"/>
      <c r="M123" s="385"/>
      <c r="N123" s="385"/>
    </row>
    <row r="124" spans="1:14" s="1" customFormat="1" ht="20.100000000000001" customHeight="1" x14ac:dyDescent="0.2">
      <c r="A124" s="536" t="s">
        <v>328</v>
      </c>
      <c r="B124" s="537"/>
      <c r="C124" s="537"/>
      <c r="D124" s="538"/>
      <c r="E124" s="26" t="s">
        <v>329</v>
      </c>
      <c r="F124" s="509" t="s">
        <v>330</v>
      </c>
      <c r="G124" s="510"/>
      <c r="H124" s="511"/>
      <c r="K124" s="23"/>
      <c r="L124" s="23"/>
      <c r="M124" s="23"/>
      <c r="N124" s="23"/>
    </row>
    <row r="125" spans="1:14" s="1" customFormat="1" ht="20.100000000000001" customHeight="1" x14ac:dyDescent="0.2">
      <c r="A125" s="536" t="s">
        <v>331</v>
      </c>
      <c r="B125" s="537"/>
      <c r="C125" s="537"/>
      <c r="D125" s="538"/>
      <c r="E125" s="26" t="s">
        <v>332</v>
      </c>
      <c r="F125" s="509" t="s">
        <v>333</v>
      </c>
      <c r="G125" s="510"/>
      <c r="H125" s="511"/>
      <c r="K125" s="23"/>
      <c r="L125" s="23"/>
      <c r="M125" s="23"/>
      <c r="N125" s="23"/>
    </row>
    <row r="126" spans="1:14" s="1" customFormat="1" ht="20.100000000000001" customHeight="1" x14ac:dyDescent="0.2">
      <c r="A126" s="536" t="s">
        <v>334</v>
      </c>
      <c r="B126" s="537"/>
      <c r="C126" s="537"/>
      <c r="D126" s="538"/>
      <c r="E126" s="26" t="s">
        <v>335</v>
      </c>
      <c r="F126" s="509" t="s">
        <v>336</v>
      </c>
      <c r="G126" s="510"/>
      <c r="H126" s="511"/>
      <c r="K126" s="23"/>
      <c r="L126" s="23"/>
      <c r="M126" s="23"/>
      <c r="N126" s="23"/>
    </row>
    <row r="127" spans="1:14" s="1" customFormat="1" ht="20.100000000000001" customHeight="1" x14ac:dyDescent="0.2">
      <c r="A127" s="530" t="s">
        <v>297</v>
      </c>
      <c r="B127" s="531"/>
      <c r="C127" s="531"/>
      <c r="D127" s="532"/>
      <c r="E127" s="27"/>
      <c r="F127" s="518"/>
      <c r="G127" s="519"/>
      <c r="H127" s="520"/>
      <c r="K127" s="385"/>
      <c r="L127" s="385"/>
      <c r="M127" s="385"/>
      <c r="N127" s="385"/>
    </row>
    <row r="128" spans="1:14" s="1" customFormat="1" ht="20.100000000000001" customHeight="1" x14ac:dyDescent="0.2">
      <c r="A128" s="536" t="s">
        <v>337</v>
      </c>
      <c r="B128" s="537"/>
      <c r="C128" s="537"/>
      <c r="D128" s="538"/>
      <c r="E128" s="26" t="s">
        <v>338</v>
      </c>
      <c r="F128" s="509" t="s">
        <v>339</v>
      </c>
      <c r="G128" s="510"/>
      <c r="H128" s="511"/>
      <c r="K128" s="23"/>
      <c r="L128" s="23"/>
      <c r="M128" s="23"/>
      <c r="N128" s="23"/>
    </row>
    <row r="129" spans="1:14" s="1" customFormat="1" ht="20.100000000000001" customHeight="1" x14ac:dyDescent="0.2">
      <c r="A129" s="536" t="s">
        <v>340</v>
      </c>
      <c r="B129" s="537"/>
      <c r="C129" s="537"/>
      <c r="D129" s="538"/>
      <c r="E129" s="26" t="s">
        <v>341</v>
      </c>
      <c r="F129" s="509" t="s">
        <v>342</v>
      </c>
      <c r="G129" s="510"/>
      <c r="H129" s="511"/>
      <c r="K129" s="23"/>
      <c r="L129" s="23"/>
      <c r="M129" s="23"/>
      <c r="N129" s="23"/>
    </row>
    <row r="130" spans="1:14" s="1" customFormat="1" ht="20.100000000000001" customHeight="1" x14ac:dyDescent="0.2">
      <c r="A130" s="536" t="s">
        <v>343</v>
      </c>
      <c r="B130" s="537"/>
      <c r="C130" s="537"/>
      <c r="D130" s="538"/>
      <c r="E130" s="26" t="s">
        <v>344</v>
      </c>
      <c r="F130" s="509" t="s">
        <v>345</v>
      </c>
      <c r="G130" s="510"/>
      <c r="H130" s="511"/>
      <c r="K130" s="23"/>
      <c r="L130" s="23"/>
      <c r="M130" s="23"/>
      <c r="N130" s="23"/>
    </row>
    <row r="131" spans="1:14" s="1" customFormat="1" ht="20.100000000000001" customHeight="1" x14ac:dyDescent="0.2">
      <c r="A131" s="533" t="s">
        <v>346</v>
      </c>
      <c r="B131" s="534"/>
      <c r="C131" s="534"/>
      <c r="D131" s="535"/>
      <c r="E131" s="26" t="s">
        <v>347</v>
      </c>
      <c r="F131" s="524" t="s">
        <v>348</v>
      </c>
      <c r="G131" s="525"/>
      <c r="H131" s="526"/>
      <c r="K131" s="24"/>
      <c r="L131" s="24"/>
      <c r="M131" s="24"/>
      <c r="N131" s="24"/>
    </row>
    <row r="132" spans="1:14" s="1" customFormat="1" ht="20.100000000000001" customHeight="1" x14ac:dyDescent="0.2">
      <c r="A132" s="530" t="s">
        <v>298</v>
      </c>
      <c r="B132" s="531"/>
      <c r="C132" s="531"/>
      <c r="D132" s="532"/>
      <c r="E132" s="26" t="s">
        <v>309</v>
      </c>
      <c r="F132" s="509" t="s">
        <v>349</v>
      </c>
      <c r="G132" s="510"/>
      <c r="H132" s="511"/>
      <c r="K132" s="385"/>
      <c r="L132" s="385"/>
      <c r="M132" s="385"/>
      <c r="N132" s="385"/>
    </row>
    <row r="133" spans="1:14" s="1" customFormat="1" ht="20.100000000000001" customHeight="1" x14ac:dyDescent="0.2">
      <c r="A133" s="530" t="s">
        <v>299</v>
      </c>
      <c r="B133" s="531"/>
      <c r="C133" s="531"/>
      <c r="D133" s="532"/>
      <c r="E133" s="26" t="s">
        <v>309</v>
      </c>
      <c r="F133" s="509" t="s">
        <v>350</v>
      </c>
      <c r="G133" s="510"/>
      <c r="H133" s="511"/>
      <c r="K133" s="385"/>
      <c r="L133" s="385"/>
      <c r="M133" s="385"/>
      <c r="N133" s="385"/>
    </row>
    <row r="134" spans="1:14" s="1" customFormat="1" ht="20.100000000000001" customHeight="1" x14ac:dyDescent="0.2">
      <c r="A134" s="530" t="s">
        <v>300</v>
      </c>
      <c r="B134" s="531"/>
      <c r="C134" s="531"/>
      <c r="D134" s="532"/>
      <c r="E134" s="26" t="s">
        <v>351</v>
      </c>
      <c r="F134" s="509" t="s">
        <v>352</v>
      </c>
      <c r="G134" s="510"/>
      <c r="H134" s="511"/>
      <c r="K134" s="385"/>
      <c r="L134" s="385"/>
      <c r="M134" s="385"/>
      <c r="N134" s="385"/>
    </row>
    <row r="135" spans="1:14" s="1" customFormat="1" ht="20.100000000000001" customHeight="1" thickBot="1" x14ac:dyDescent="0.25">
      <c r="A135" s="527" t="s">
        <v>302</v>
      </c>
      <c r="B135" s="528"/>
      <c r="C135" s="528"/>
      <c r="D135" s="529"/>
      <c r="E135" s="25" t="s">
        <v>309</v>
      </c>
      <c r="F135" s="521" t="s">
        <v>353</v>
      </c>
      <c r="G135" s="522"/>
      <c r="H135" s="523"/>
      <c r="K135" s="385"/>
      <c r="L135" s="385"/>
      <c r="M135" s="385"/>
      <c r="N135" s="385"/>
    </row>
  </sheetData>
  <mergeCells count="78">
    <mergeCell ref="A1:H1"/>
    <mergeCell ref="A118:D118"/>
    <mergeCell ref="F118:H118"/>
    <mergeCell ref="F114:H114"/>
    <mergeCell ref="K115:N115"/>
    <mergeCell ref="E71:G71"/>
    <mergeCell ref="A117:D117"/>
    <mergeCell ref="A116:D116"/>
    <mergeCell ref="A115:D115"/>
    <mergeCell ref="A113:D113"/>
    <mergeCell ref="A114:D114"/>
    <mergeCell ref="F113:H113"/>
    <mergeCell ref="A6:H6"/>
    <mergeCell ref="A7:H7"/>
    <mergeCell ref="A48:H48"/>
    <mergeCell ref="A8:A9"/>
    <mergeCell ref="A29:A30"/>
    <mergeCell ref="B29:D29"/>
    <mergeCell ref="E29:G29"/>
    <mergeCell ref="H8:H9"/>
    <mergeCell ref="H29:H30"/>
    <mergeCell ref="A28:H28"/>
    <mergeCell ref="A27:H27"/>
    <mergeCell ref="B8:D8"/>
    <mergeCell ref="E8:G8"/>
    <mergeCell ref="A123:D123"/>
    <mergeCell ref="A122:D122"/>
    <mergeCell ref="A121:D121"/>
    <mergeCell ref="A120:D120"/>
    <mergeCell ref="A119:D119"/>
    <mergeCell ref="A126:D126"/>
    <mergeCell ref="A125:D125"/>
    <mergeCell ref="A124:D124"/>
    <mergeCell ref="A127:D127"/>
    <mergeCell ref="A130:D130"/>
    <mergeCell ref="A129:D129"/>
    <mergeCell ref="A128:D128"/>
    <mergeCell ref="A135:D135"/>
    <mergeCell ref="A134:D134"/>
    <mergeCell ref="A133:D133"/>
    <mergeCell ref="A132:D132"/>
    <mergeCell ref="A131:D131"/>
    <mergeCell ref="F135:H135"/>
    <mergeCell ref="F134:H134"/>
    <mergeCell ref="F133:H133"/>
    <mergeCell ref="F132:H132"/>
    <mergeCell ref="F131:H131"/>
    <mergeCell ref="F130:H130"/>
    <mergeCell ref="F129:H129"/>
    <mergeCell ref="F128:H128"/>
    <mergeCell ref="F127:H127"/>
    <mergeCell ref="F126:H126"/>
    <mergeCell ref="F125:H125"/>
    <mergeCell ref="F124:H124"/>
    <mergeCell ref="F123:H123"/>
    <mergeCell ref="F122:H122"/>
    <mergeCell ref="F121:H121"/>
    <mergeCell ref="F120:H120"/>
    <mergeCell ref="F119:H119"/>
    <mergeCell ref="F117:H117"/>
    <mergeCell ref="F116:H116"/>
    <mergeCell ref="F115:H115"/>
    <mergeCell ref="H50:H51"/>
    <mergeCell ref="A49:H49"/>
    <mergeCell ref="H71:H72"/>
    <mergeCell ref="A70:H70"/>
    <mergeCell ref="H92:H93"/>
    <mergeCell ref="A91:H91"/>
    <mergeCell ref="A69:H69"/>
    <mergeCell ref="A90:H90"/>
    <mergeCell ref="A92:A93"/>
    <mergeCell ref="B92:D92"/>
    <mergeCell ref="E92:G92"/>
    <mergeCell ref="A50:A51"/>
    <mergeCell ref="B50:D50"/>
    <mergeCell ref="E50:G50"/>
    <mergeCell ref="A71:A72"/>
    <mergeCell ref="B71:D71"/>
  </mergeCells>
  <phoneticPr fontId="10" type="noConversion"/>
  <hyperlinks>
    <hyperlink ref="F122" r:id="rId1" display="23-7.4:2 C 1" xr:uid="{00000000-0004-0000-0700-000000000000}"/>
    <hyperlink ref="F125" r:id="rId2" display="23-7.4:2 E" xr:uid="{00000000-0004-0000-0700-000001000000}"/>
    <hyperlink ref="F128" r:id="rId3" display="23-7.4:2 C 3" xr:uid="{00000000-0004-0000-0700-000002000000}"/>
    <hyperlink ref="F129" r:id="rId4" display="23-7.4:2 A " xr:uid="{00000000-0004-0000-0700-000003000000}"/>
    <hyperlink ref="F115" r:id="rId5" display="23-7.4:2 C 2" xr:uid="{00000000-0004-0000-0700-000004000000}"/>
    <hyperlink ref="F121" r:id="rId6" display="23-7.4:2 F" xr:uid="{00000000-0004-0000-0700-000005000000}"/>
    <hyperlink ref="F130" r:id="rId7" display="23-7.4 B " xr:uid="{00000000-0004-0000-0700-000006000000}"/>
    <hyperlink ref="F116" r:id="rId8" display="23-7.4 E " xr:uid="{00000000-0004-0000-0700-000007000000}"/>
    <hyperlink ref="F117" r:id="rId9" display="23-7.4:2 G" xr:uid="{00000000-0004-0000-0700-000008000000}"/>
    <hyperlink ref="F124" r:id="rId10" display="23-7.4:2 D" xr:uid="{00000000-0004-0000-0700-000009000000}"/>
    <hyperlink ref="F131" r:id="rId11" xr:uid="{00000000-0004-0000-0700-00000A000000}"/>
    <hyperlink ref="F119" r:id="rId12" xr:uid="{00000000-0004-0000-0700-00000B000000}"/>
    <hyperlink ref="F120" r:id="rId13" display="23-7.4:2 G" xr:uid="{00000000-0004-0000-0700-00000C000000}"/>
    <hyperlink ref="F132" r:id="rId14" xr:uid="{00000000-0004-0000-0700-00000D000000}"/>
    <hyperlink ref="F134" r:id="rId15" xr:uid="{00000000-0004-0000-0700-00000E000000}"/>
    <hyperlink ref="F133" r:id="rId16" xr:uid="{00000000-0004-0000-0700-00000F000000}"/>
    <hyperlink ref="F135" r:id="rId17" xr:uid="{00000000-0004-0000-0700-000010000000}"/>
    <hyperlink ref="F114" r:id="rId18" display="23-7.4:2 C 2" xr:uid="{00000000-0004-0000-0700-000011000000}"/>
    <hyperlink ref="F114:H114" r:id="rId19" display="Code of Virginia § 23-31" xr:uid="{00000000-0004-0000-0700-000012000000}"/>
    <hyperlink ref="F118" r:id="rId20" display="23-7.4:2 G" xr:uid="{00000000-0004-0000-0700-000013000000}"/>
    <hyperlink ref="F118:H118" r:id="rId21" display="Code of Virginia § 23-7.4:2 G" xr:uid="{00000000-0004-0000-0700-000014000000}"/>
  </hyperlinks>
  <pageMargins left="0.2" right="0.2" top="1" bottom="0.5" header="0.3" footer="0.3"/>
  <pageSetup scale="82" fitToHeight="6" orientation="landscape" horizontalDpi="4294967292" verticalDpi="4294967292"/>
  <headerFooter>
    <oddFooter>&amp;L2014 Six-Year Plan - Tuition Waivers&amp;C&amp;P of &amp;N&amp;RSCHEV - 7/1/2014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51"/>
  <sheetViews>
    <sheetView workbookViewId="0">
      <selection sqref="A1:B51"/>
    </sheetView>
  </sheetViews>
  <sheetFormatPr defaultColWidth="9.140625" defaultRowHeight="12.75" x14ac:dyDescent="0.2"/>
  <cols>
    <col min="1" max="16384" width="9.140625" style="8"/>
  </cols>
  <sheetData>
    <row r="1" spans="1:2" x14ac:dyDescent="0.2">
      <c r="A1" s="8" t="s">
        <v>354</v>
      </c>
      <c r="B1" s="8" t="s">
        <v>355</v>
      </c>
    </row>
    <row r="2" spans="1:2" x14ac:dyDescent="0.2">
      <c r="A2" s="8">
        <v>1</v>
      </c>
      <c r="B2" s="8" t="s">
        <v>356</v>
      </c>
    </row>
    <row r="3" spans="1:2" x14ac:dyDescent="0.2">
      <c r="A3" s="8">
        <v>2</v>
      </c>
      <c r="B3" s="8" t="s">
        <v>357</v>
      </c>
    </row>
    <row r="4" spans="1:2" x14ac:dyDescent="0.2">
      <c r="A4" s="8">
        <v>3</v>
      </c>
    </row>
    <row r="5" spans="1:2" x14ac:dyDescent="0.2">
      <c r="A5" s="8">
        <v>4</v>
      </c>
    </row>
    <row r="6" spans="1:2" x14ac:dyDescent="0.2">
      <c r="A6" s="8">
        <v>5</v>
      </c>
    </row>
    <row r="7" spans="1:2" x14ac:dyDescent="0.2">
      <c r="A7" s="8">
        <v>6</v>
      </c>
    </row>
    <row r="8" spans="1:2" x14ac:dyDescent="0.2">
      <c r="A8" s="8">
        <v>7</v>
      </c>
    </row>
    <row r="9" spans="1:2" x14ac:dyDescent="0.2">
      <c r="A9" s="8">
        <v>8</v>
      </c>
    </row>
    <row r="10" spans="1:2" x14ac:dyDescent="0.2">
      <c r="A10" s="8">
        <v>9</v>
      </c>
    </row>
    <row r="11" spans="1:2" x14ac:dyDescent="0.2">
      <c r="A11" s="8">
        <v>10</v>
      </c>
    </row>
    <row r="12" spans="1:2" x14ac:dyDescent="0.2">
      <c r="A12" s="8">
        <v>11</v>
      </c>
    </row>
    <row r="13" spans="1:2" x14ac:dyDescent="0.2">
      <c r="A13" s="8">
        <v>12</v>
      </c>
    </row>
    <row r="14" spans="1:2" x14ac:dyDescent="0.2">
      <c r="A14" s="8">
        <v>13</v>
      </c>
    </row>
    <row r="15" spans="1:2" x14ac:dyDescent="0.2">
      <c r="A15" s="8">
        <v>14</v>
      </c>
    </row>
    <row r="16" spans="1:2" x14ac:dyDescent="0.2">
      <c r="A16" s="8">
        <v>15</v>
      </c>
    </row>
    <row r="17" spans="1:1" x14ac:dyDescent="0.2">
      <c r="A17" s="8">
        <v>16</v>
      </c>
    </row>
    <row r="18" spans="1:1" x14ac:dyDescent="0.2">
      <c r="A18" s="8">
        <v>17</v>
      </c>
    </row>
    <row r="19" spans="1:1" x14ac:dyDescent="0.2">
      <c r="A19" s="8">
        <v>18</v>
      </c>
    </row>
    <row r="20" spans="1:1" x14ac:dyDescent="0.2">
      <c r="A20" s="8">
        <v>19</v>
      </c>
    </row>
    <row r="21" spans="1:1" x14ac:dyDescent="0.2">
      <c r="A21" s="8">
        <v>20</v>
      </c>
    </row>
    <row r="22" spans="1:1" x14ac:dyDescent="0.2">
      <c r="A22" s="8">
        <v>21</v>
      </c>
    </row>
    <row r="23" spans="1:1" x14ac:dyDescent="0.2">
      <c r="A23" s="8">
        <v>22</v>
      </c>
    </row>
    <row r="24" spans="1:1" x14ac:dyDescent="0.2">
      <c r="A24" s="8">
        <v>23</v>
      </c>
    </row>
    <row r="25" spans="1:1" x14ac:dyDescent="0.2">
      <c r="A25" s="8">
        <v>24</v>
      </c>
    </row>
    <row r="26" spans="1:1" x14ac:dyDescent="0.2">
      <c r="A26" s="8">
        <v>25</v>
      </c>
    </row>
    <row r="27" spans="1:1" x14ac:dyDescent="0.2">
      <c r="A27" s="8">
        <v>26</v>
      </c>
    </row>
    <row r="28" spans="1:1" x14ac:dyDescent="0.2">
      <c r="A28" s="8">
        <v>27</v>
      </c>
    </row>
    <row r="29" spans="1:1" x14ac:dyDescent="0.2">
      <c r="A29" s="8">
        <v>28</v>
      </c>
    </row>
    <row r="30" spans="1:1" x14ac:dyDescent="0.2">
      <c r="A30" s="8">
        <v>29</v>
      </c>
    </row>
    <row r="31" spans="1:1" x14ac:dyDescent="0.2">
      <c r="A31" s="8">
        <v>30</v>
      </c>
    </row>
    <row r="32" spans="1:1" x14ac:dyDescent="0.2">
      <c r="A32" s="8">
        <v>31</v>
      </c>
    </row>
    <row r="33" spans="1:1" x14ac:dyDescent="0.2">
      <c r="A33" s="8">
        <v>32</v>
      </c>
    </row>
    <row r="34" spans="1:1" x14ac:dyDescent="0.2">
      <c r="A34" s="8">
        <v>33</v>
      </c>
    </row>
    <row r="35" spans="1:1" x14ac:dyDescent="0.2">
      <c r="A35" s="8">
        <v>34</v>
      </c>
    </row>
    <row r="36" spans="1:1" x14ac:dyDescent="0.2">
      <c r="A36" s="8">
        <v>35</v>
      </c>
    </row>
    <row r="37" spans="1:1" x14ac:dyDescent="0.2">
      <c r="A37" s="8">
        <v>36</v>
      </c>
    </row>
    <row r="38" spans="1:1" x14ac:dyDescent="0.2">
      <c r="A38" s="8">
        <v>37</v>
      </c>
    </row>
    <row r="39" spans="1:1" x14ac:dyDescent="0.2">
      <c r="A39" s="8">
        <v>38</v>
      </c>
    </row>
    <row r="40" spans="1:1" x14ac:dyDescent="0.2">
      <c r="A40" s="8">
        <v>39</v>
      </c>
    </row>
    <row r="41" spans="1:1" x14ac:dyDescent="0.2">
      <c r="A41" s="8">
        <v>40</v>
      </c>
    </row>
    <row r="42" spans="1:1" x14ac:dyDescent="0.2">
      <c r="A42" s="8">
        <v>41</v>
      </c>
    </row>
    <row r="43" spans="1:1" x14ac:dyDescent="0.2">
      <c r="A43" s="8">
        <v>42</v>
      </c>
    </row>
    <row r="44" spans="1:1" x14ac:dyDescent="0.2">
      <c r="A44" s="8">
        <v>43</v>
      </c>
    </row>
    <row r="45" spans="1:1" x14ac:dyDescent="0.2">
      <c r="A45" s="8">
        <v>44</v>
      </c>
    </row>
    <row r="46" spans="1:1" x14ac:dyDescent="0.2">
      <c r="A46" s="8">
        <v>45</v>
      </c>
    </row>
    <row r="47" spans="1:1" x14ac:dyDescent="0.2">
      <c r="A47" s="8">
        <v>46</v>
      </c>
    </row>
    <row r="48" spans="1:1" x14ac:dyDescent="0.2">
      <c r="A48" s="8">
        <v>47</v>
      </c>
    </row>
    <row r="49" spans="1:1" x14ac:dyDescent="0.2">
      <c r="A49" s="8">
        <v>48</v>
      </c>
    </row>
    <row r="50" spans="1:1" x14ac:dyDescent="0.2">
      <c r="A50" s="8">
        <v>49</v>
      </c>
    </row>
    <row r="51" spans="1:1" x14ac:dyDescent="0.2">
      <c r="A51" s="8">
        <v>50</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8"/>
  <sheetViews>
    <sheetView tabSelected="1" zoomScaleNormal="100" workbookViewId="0">
      <selection activeCell="F21" sqref="F21"/>
    </sheetView>
  </sheetViews>
  <sheetFormatPr defaultColWidth="8.5703125" defaultRowHeight="12.75" x14ac:dyDescent="0.2"/>
  <cols>
    <col min="5" max="5" width="17.42578125" customWidth="1"/>
  </cols>
  <sheetData>
    <row r="1" spans="1:19" s="2" customFormat="1" ht="30" customHeight="1" x14ac:dyDescent="0.2">
      <c r="A1" s="391" t="s">
        <v>61</v>
      </c>
      <c r="B1" s="391"/>
      <c r="C1" s="391"/>
      <c r="D1" s="391"/>
      <c r="E1" s="391"/>
      <c r="F1" s="391"/>
      <c r="G1" s="391"/>
      <c r="H1" s="391"/>
      <c r="I1" s="391"/>
      <c r="J1" s="391"/>
      <c r="K1" s="391"/>
      <c r="L1" s="391"/>
      <c r="M1" s="391"/>
      <c r="N1" s="391"/>
      <c r="O1" s="391"/>
      <c r="P1" s="391"/>
      <c r="Q1" s="391"/>
    </row>
    <row r="2" spans="1:19" s="2" customFormat="1" ht="30" customHeight="1" thickBot="1" x14ac:dyDescent="0.25">
      <c r="A2" s="393" t="s">
        <v>62</v>
      </c>
      <c r="B2" s="393"/>
      <c r="C2" s="393"/>
      <c r="D2" s="393"/>
      <c r="E2" s="393"/>
      <c r="F2" s="377"/>
      <c r="G2" s="377"/>
      <c r="H2" s="377"/>
      <c r="I2" s="377"/>
      <c r="J2" s="377"/>
      <c r="K2" s="377"/>
      <c r="L2" s="377"/>
      <c r="M2" s="377"/>
      <c r="N2" s="377"/>
      <c r="O2" s="377"/>
      <c r="P2" s="377"/>
    </row>
    <row r="3" spans="1:19" s="2" customFormat="1" ht="30" customHeight="1" thickBot="1" x14ac:dyDescent="0.25">
      <c r="A3" s="392" t="s">
        <v>63</v>
      </c>
      <c r="B3" s="392"/>
      <c r="C3" s="403" t="s">
        <v>218</v>
      </c>
      <c r="D3" s="404"/>
      <c r="E3" s="404"/>
      <c r="F3" s="404"/>
      <c r="G3" s="404"/>
      <c r="H3" s="404"/>
      <c r="I3" s="404"/>
      <c r="J3" s="404"/>
      <c r="K3" s="404"/>
      <c r="L3" s="404"/>
      <c r="M3" s="404"/>
      <c r="N3" s="404"/>
      <c r="O3" s="404"/>
      <c r="P3" s="404"/>
      <c r="Q3" s="404"/>
      <c r="R3" s="404"/>
      <c r="S3" s="405"/>
    </row>
    <row r="4" spans="1:19" s="5" customFormat="1" ht="30" customHeight="1" thickBot="1" x14ac:dyDescent="0.25">
      <c r="A4" s="392" t="s">
        <v>64</v>
      </c>
      <c r="B4" s="392"/>
      <c r="C4" s="392"/>
      <c r="D4" s="398"/>
      <c r="E4" s="399" t="s">
        <v>358</v>
      </c>
      <c r="F4" s="400"/>
      <c r="G4" s="400"/>
      <c r="H4" s="401"/>
      <c r="I4" s="4"/>
      <c r="J4" s="4"/>
      <c r="K4" s="4"/>
      <c r="L4" s="4"/>
      <c r="M4" s="4"/>
      <c r="N4" s="4"/>
      <c r="O4" s="4"/>
      <c r="P4" s="4"/>
      <c r="Q4" s="4"/>
      <c r="R4" s="4"/>
      <c r="S4" s="4"/>
    </row>
    <row r="5" spans="1:19" s="5" customFormat="1" ht="30" customHeight="1" thickBot="1" x14ac:dyDescent="0.25">
      <c r="A5" s="392" t="s">
        <v>65</v>
      </c>
      <c r="B5" s="392"/>
      <c r="C5" s="392"/>
      <c r="D5" s="392"/>
      <c r="E5" s="392"/>
      <c r="F5" s="392"/>
      <c r="G5" s="392"/>
      <c r="H5" s="4"/>
      <c r="I5" s="4"/>
      <c r="J5" s="4"/>
      <c r="K5" s="4"/>
      <c r="L5" s="4"/>
      <c r="M5" s="4"/>
      <c r="N5" s="4"/>
      <c r="O5" s="4"/>
      <c r="P5" s="4"/>
      <c r="Q5" s="4"/>
      <c r="R5" s="4"/>
      <c r="S5" s="4"/>
    </row>
    <row r="6" spans="1:19" s="5" customFormat="1" ht="30" customHeight="1" thickBot="1" x14ac:dyDescent="0.25">
      <c r="A6" s="394" t="s">
        <v>66</v>
      </c>
      <c r="B6" s="394"/>
      <c r="C6" s="394"/>
      <c r="D6" s="394"/>
      <c r="E6" s="394"/>
      <c r="F6" s="394"/>
      <c r="G6" s="394"/>
      <c r="H6" s="395" t="s">
        <v>359</v>
      </c>
      <c r="I6" s="396"/>
      <c r="J6" s="396"/>
      <c r="K6" s="396"/>
      <c r="L6" s="396"/>
      <c r="M6" s="396"/>
      <c r="N6" s="396"/>
      <c r="O6" s="396"/>
      <c r="P6" s="396"/>
      <c r="Q6" s="397"/>
      <c r="R6" s="4"/>
      <c r="S6" s="4"/>
    </row>
    <row r="7" spans="1:19" s="5" customFormat="1" ht="30" customHeight="1" thickBot="1" x14ac:dyDescent="0.25">
      <c r="A7" s="394" t="s">
        <v>67</v>
      </c>
      <c r="B7" s="394"/>
      <c r="C7" s="394"/>
      <c r="D7" s="394"/>
      <c r="E7" s="394"/>
      <c r="F7" s="394"/>
      <c r="G7" s="394"/>
      <c r="H7" s="402" t="s">
        <v>360</v>
      </c>
      <c r="I7" s="396"/>
      <c r="J7" s="396"/>
      <c r="K7" s="396"/>
      <c r="L7" s="396"/>
      <c r="M7" s="396"/>
      <c r="N7" s="396"/>
      <c r="O7" s="396"/>
      <c r="P7" s="396"/>
      <c r="Q7" s="397"/>
      <c r="R7" s="4"/>
      <c r="S7" s="4"/>
    </row>
    <row r="8" spans="1:19" s="5" customFormat="1" ht="30" customHeight="1" thickBot="1" x14ac:dyDescent="0.25">
      <c r="A8" s="394" t="s">
        <v>68</v>
      </c>
      <c r="B8" s="394"/>
      <c r="C8" s="394"/>
      <c r="D8" s="394"/>
      <c r="E8" s="394"/>
      <c r="F8" s="394"/>
      <c r="G8" s="394"/>
      <c r="H8" s="395" t="s">
        <v>361</v>
      </c>
      <c r="I8" s="396"/>
      <c r="J8" s="396"/>
      <c r="K8" s="396"/>
      <c r="L8" s="396"/>
      <c r="M8" s="396"/>
      <c r="N8" s="396"/>
      <c r="O8" s="396"/>
      <c r="P8" s="396"/>
      <c r="Q8" s="397"/>
      <c r="R8" s="4"/>
      <c r="S8" s="4"/>
    </row>
  </sheetData>
  <mergeCells count="13">
    <mergeCell ref="A1:Q1"/>
    <mergeCell ref="A3:B3"/>
    <mergeCell ref="A2:E2"/>
    <mergeCell ref="A8:G8"/>
    <mergeCell ref="H8:Q8"/>
    <mergeCell ref="A4:D4"/>
    <mergeCell ref="E4:H4"/>
    <mergeCell ref="A5:G5"/>
    <mergeCell ref="A6:G6"/>
    <mergeCell ref="H6:Q6"/>
    <mergeCell ref="A7:G7"/>
    <mergeCell ref="H7:Q7"/>
    <mergeCell ref="C3:S3"/>
  </mergeCells>
  <phoneticPr fontId="10" type="noConversion"/>
  <hyperlinks>
    <hyperlink ref="H7" r:id="rId1" xr:uid="{57A38CDC-35E9-46ED-B420-ED3B994685C8}"/>
  </hyperlinks>
  <pageMargins left="0.7" right="0.7" top="0.75" bottom="0.75" header="0.3" footer="0.3"/>
  <pageSetup scale="53" orientation="portrait" r:id="rId2"/>
  <headerFooter>
    <oddFooter>&amp;L2017 Six-Year Plan - Institution ID&amp;C&amp;P of &amp;N&amp;RSCHEV - 5/23/17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6"/>
  <sheetViews>
    <sheetView zoomScale="80" zoomScaleNormal="80" workbookViewId="0">
      <selection activeCell="E13" sqref="E13"/>
    </sheetView>
  </sheetViews>
  <sheetFormatPr defaultRowHeight="12.75" x14ac:dyDescent="0.2"/>
  <cols>
    <col min="1" max="1" width="54.42578125" customWidth="1"/>
    <col min="2" max="6" width="20.5703125" customWidth="1"/>
  </cols>
  <sheetData>
    <row r="1" spans="1:6" ht="23.25" x14ac:dyDescent="0.35">
      <c r="A1" s="97" t="s">
        <v>69</v>
      </c>
      <c r="B1" s="98"/>
      <c r="C1" s="98"/>
      <c r="D1" s="98"/>
      <c r="E1" s="98"/>
      <c r="F1" s="165"/>
    </row>
    <row r="2" spans="1:6" ht="22.5" customHeight="1" x14ac:dyDescent="0.2">
      <c r="A2" s="174" t="str">
        <f>'Institution ID'!C3</f>
        <v>Virginia Military Institute</v>
      </c>
      <c r="B2" s="174"/>
      <c r="C2" s="174"/>
      <c r="D2" s="174"/>
      <c r="E2" s="174"/>
      <c r="F2" s="165"/>
    </row>
    <row r="3" spans="1:6" ht="15" x14ac:dyDescent="0.2">
      <c r="A3" s="99"/>
      <c r="B3" s="99"/>
      <c r="C3" s="99"/>
      <c r="D3" s="99"/>
      <c r="E3" s="99"/>
      <c r="F3" s="165"/>
    </row>
    <row r="4" spans="1:6" ht="85.5" customHeight="1" x14ac:dyDescent="0.2">
      <c r="A4" s="412" t="s">
        <v>70</v>
      </c>
      <c r="B4" s="413"/>
      <c r="C4" s="413"/>
      <c r="D4" s="413"/>
      <c r="E4" s="413"/>
      <c r="F4" s="413"/>
    </row>
    <row r="5" spans="1:6" ht="15" x14ac:dyDescent="0.2">
      <c r="A5" s="165"/>
      <c r="B5" s="100"/>
      <c r="C5" s="100"/>
      <c r="D5" s="100"/>
      <c r="E5" s="100"/>
      <c r="F5" s="100"/>
    </row>
    <row r="6" spans="1:6" ht="18" x14ac:dyDescent="0.25">
      <c r="A6" s="165"/>
      <c r="B6" s="406" t="s">
        <v>71</v>
      </c>
      <c r="C6" s="407"/>
      <c r="D6" s="407"/>
      <c r="E6" s="407"/>
      <c r="F6" s="408"/>
    </row>
    <row r="7" spans="1:6" ht="15" x14ac:dyDescent="0.2">
      <c r="B7" s="175" t="s">
        <v>72</v>
      </c>
      <c r="C7" s="409" t="s">
        <v>73</v>
      </c>
      <c r="D7" s="410"/>
      <c r="E7" s="410" t="s">
        <v>74</v>
      </c>
      <c r="F7" s="411"/>
    </row>
    <row r="8" spans="1:6" ht="30" x14ac:dyDescent="0.2">
      <c r="B8" s="176" t="s">
        <v>75</v>
      </c>
      <c r="C8" s="177" t="s">
        <v>76</v>
      </c>
      <c r="D8" s="178" t="s">
        <v>77</v>
      </c>
      <c r="E8" s="177" t="s">
        <v>76</v>
      </c>
      <c r="F8" s="178" t="s">
        <v>77</v>
      </c>
    </row>
    <row r="9" spans="1:6" ht="15" x14ac:dyDescent="0.2">
      <c r="A9" s="117" t="s">
        <v>78</v>
      </c>
      <c r="B9" s="125">
        <v>10076</v>
      </c>
      <c r="C9" s="128">
        <v>10378</v>
      </c>
      <c r="D9" s="118">
        <f>IF(C9=0,"%",C9/B9-1)</f>
        <v>2.9972211194918552E-2</v>
      </c>
      <c r="E9" s="128">
        <v>10690</v>
      </c>
      <c r="F9" s="118">
        <f>IF(E9=0,"%",E9/C9-1)</f>
        <v>3.0063596068606646E-2</v>
      </c>
    </row>
    <row r="10" spans="1:6" ht="15" x14ac:dyDescent="0.2">
      <c r="A10" s="115" t="s">
        <v>79</v>
      </c>
      <c r="B10" s="126">
        <v>0</v>
      </c>
      <c r="C10" s="126">
        <v>0</v>
      </c>
      <c r="D10" s="119" t="str">
        <f t="shared" ref="D10:D15" si="0">IF(C10=0,"%",C10/B10-1)</f>
        <v>%</v>
      </c>
      <c r="E10" s="126">
        <v>0</v>
      </c>
      <c r="F10" s="119" t="str">
        <f t="shared" ref="F10:F15" si="1">IF(E10=0,"%",E10/C10-1)</f>
        <v>%</v>
      </c>
    </row>
    <row r="11" spans="1:6" ht="15" x14ac:dyDescent="0.2">
      <c r="A11" s="116" t="s">
        <v>80</v>
      </c>
      <c r="B11" s="127">
        <v>10408</v>
      </c>
      <c r="C11" s="129">
        <v>10688</v>
      </c>
      <c r="D11" s="120">
        <f t="shared" si="0"/>
        <v>2.6902382782475032E-2</v>
      </c>
      <c r="E11" s="129">
        <v>10934</v>
      </c>
      <c r="F11" s="120">
        <f t="shared" si="1"/>
        <v>2.3016467065868351E-2</v>
      </c>
    </row>
    <row r="12" spans="1:6" ht="15" x14ac:dyDescent="0.2">
      <c r="A12" s="122" t="s">
        <v>81</v>
      </c>
      <c r="B12" s="123">
        <f>SUM(B9:B11)</f>
        <v>20484</v>
      </c>
      <c r="C12" s="124">
        <f>SUM(C9:C11)</f>
        <v>21066</v>
      </c>
      <c r="D12" s="120">
        <f t="shared" si="0"/>
        <v>2.8412419449326265E-2</v>
      </c>
      <c r="E12" s="124">
        <f>SUM(E9:E11)</f>
        <v>21624</v>
      </c>
      <c r="F12" s="120">
        <f>IF(E12=0,"%",E12/C12-1)</f>
        <v>2.6488180005696416E-2</v>
      </c>
    </row>
    <row r="13" spans="1:6" ht="15" x14ac:dyDescent="0.2">
      <c r="A13" s="115" t="s">
        <v>82</v>
      </c>
      <c r="B13" s="125">
        <v>40778</v>
      </c>
      <c r="C13" s="128">
        <v>42000</v>
      </c>
      <c r="D13" s="119">
        <f t="shared" si="0"/>
        <v>2.9967139143655785E-2</v>
      </c>
      <c r="E13" s="126">
        <v>43260</v>
      </c>
      <c r="F13" s="119">
        <f t="shared" si="1"/>
        <v>3.0000000000000027E-2</v>
      </c>
    </row>
    <row r="14" spans="1:6" ht="15" x14ac:dyDescent="0.2">
      <c r="A14" s="115" t="s">
        <v>83</v>
      </c>
      <c r="B14" s="126">
        <v>0</v>
      </c>
      <c r="C14" s="126">
        <v>0</v>
      </c>
      <c r="D14" s="119" t="str">
        <f t="shared" si="0"/>
        <v>%</v>
      </c>
      <c r="E14" s="126">
        <v>0</v>
      </c>
      <c r="F14" s="119" t="str">
        <f t="shared" si="1"/>
        <v>%</v>
      </c>
    </row>
    <row r="15" spans="1:6" ht="15" x14ac:dyDescent="0.2">
      <c r="A15" s="116" t="s">
        <v>84</v>
      </c>
      <c r="B15" s="127">
        <v>10408</v>
      </c>
      <c r="C15" s="129">
        <v>10688</v>
      </c>
      <c r="D15" s="120">
        <f t="shared" si="0"/>
        <v>2.6902382782475032E-2</v>
      </c>
      <c r="E15" s="129">
        <v>10934</v>
      </c>
      <c r="F15" s="120">
        <f t="shared" si="1"/>
        <v>2.3016467065868351E-2</v>
      </c>
    </row>
    <row r="16" spans="1:6" ht="15" x14ac:dyDescent="0.2">
      <c r="A16" s="122" t="s">
        <v>85</v>
      </c>
      <c r="B16" s="123">
        <f>SUM(B13:B15)</f>
        <v>51186</v>
      </c>
      <c r="C16" s="124">
        <f>SUM(C13:C15)</f>
        <v>52688</v>
      </c>
      <c r="D16" s="120">
        <f>IF(C16=0,"%",C16/B16-1)</f>
        <v>2.9343961239401306E-2</v>
      </c>
      <c r="E16" s="124">
        <f>SUM(E13:E15)</f>
        <v>54194</v>
      </c>
      <c r="F16" s="120">
        <f>IF(E16=0,"%",E16/C16-1)</f>
        <v>2.8583358639538314E-2</v>
      </c>
    </row>
  </sheetData>
  <mergeCells count="4">
    <mergeCell ref="B6:F6"/>
    <mergeCell ref="C7:D7"/>
    <mergeCell ref="E7:F7"/>
    <mergeCell ref="A4:F4"/>
  </mergeCells>
  <pageMargins left="0.7" right="0.7" top="0.75" bottom="0.75" header="0.3" footer="0.3"/>
  <pageSetup scale="7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35"/>
  <sheetViews>
    <sheetView topLeftCell="A4" zoomScaleNormal="100" zoomScalePageLayoutView="150" workbookViewId="0">
      <selection activeCell="B34" sqref="B34"/>
    </sheetView>
  </sheetViews>
  <sheetFormatPr defaultColWidth="8.5703125" defaultRowHeight="12.75" x14ac:dyDescent="0.2"/>
  <cols>
    <col min="1" max="1" width="39.5703125" customWidth="1"/>
    <col min="2" max="2" width="19.140625" bestFit="1" customWidth="1"/>
    <col min="3" max="3" width="20.5703125" customWidth="1"/>
    <col min="4" max="4" width="7.42578125" style="156" bestFit="1" customWidth="1"/>
    <col min="5" max="5" width="20.5703125" customWidth="1"/>
    <col min="6" max="6" width="7.42578125" style="156" customWidth="1"/>
    <col min="7" max="7" width="20.5703125" customWidth="1"/>
    <col min="8" max="8" width="7.42578125" style="156" customWidth="1"/>
    <col min="9" max="9" width="23.140625" bestFit="1" customWidth="1"/>
    <col min="10" max="10" width="7.42578125" style="156" customWidth="1"/>
    <col min="11" max="11" width="23.140625" bestFit="1" customWidth="1"/>
    <col min="12" max="12" width="7.42578125" style="156" customWidth="1"/>
    <col min="13" max="13" width="23.140625" bestFit="1" customWidth="1"/>
    <col min="14" max="14" width="7.42578125" style="156" customWidth="1"/>
    <col min="15" max="15" width="23.140625" bestFit="1" customWidth="1"/>
    <col min="16" max="16" width="7.42578125" style="156" customWidth="1"/>
    <col min="17" max="17" width="15.140625" bestFit="1" customWidth="1"/>
  </cols>
  <sheetData>
    <row r="1" spans="1:18" s="1" customFormat="1" ht="20.100000000000001" customHeight="1" x14ac:dyDescent="0.2">
      <c r="A1" s="56" t="s">
        <v>86</v>
      </c>
      <c r="B1" s="56"/>
      <c r="C1" s="56"/>
      <c r="D1" s="151"/>
      <c r="E1" s="56"/>
      <c r="F1" s="151"/>
      <c r="G1" s="56"/>
      <c r="H1" s="151"/>
      <c r="J1" s="151"/>
      <c r="L1" s="151"/>
      <c r="N1" s="151"/>
      <c r="P1" s="151"/>
    </row>
    <row r="2" spans="1:18" s="1" customFormat="1" ht="20.100000000000001" customHeight="1" x14ac:dyDescent="0.2">
      <c r="A2" s="414" t="str">
        <f>'Institution ID'!C3</f>
        <v>Virginia Military Institute</v>
      </c>
      <c r="B2" s="414"/>
      <c r="C2" s="414"/>
      <c r="D2" s="414"/>
      <c r="E2" s="414"/>
      <c r="F2" s="414"/>
      <c r="G2" s="414"/>
      <c r="H2" s="378"/>
    </row>
    <row r="3" spans="1:18" s="2" customFormat="1" ht="147" customHeight="1" x14ac:dyDescent="0.2">
      <c r="A3" s="416" t="s">
        <v>87</v>
      </c>
      <c r="B3" s="417"/>
      <c r="C3" s="417"/>
      <c r="D3" s="417"/>
      <c r="E3" s="417"/>
      <c r="F3" s="417"/>
      <c r="G3" s="418"/>
      <c r="H3" s="150"/>
      <c r="I3" s="419" t="s">
        <v>88</v>
      </c>
      <c r="J3" s="420"/>
      <c r="K3" s="420"/>
      <c r="L3" s="420"/>
      <c r="M3" s="420"/>
      <c r="N3" s="420"/>
      <c r="O3" s="421"/>
    </row>
    <row r="4" spans="1:18" ht="15" customHeight="1" x14ac:dyDescent="0.2">
      <c r="A4" s="415" t="s">
        <v>89</v>
      </c>
      <c r="B4" s="103" t="s">
        <v>90</v>
      </c>
      <c r="C4" s="103" t="s">
        <v>91</v>
      </c>
      <c r="D4" s="152"/>
      <c r="E4" s="103" t="s">
        <v>92</v>
      </c>
      <c r="F4" s="152"/>
      <c r="G4" s="103" t="s">
        <v>93</v>
      </c>
      <c r="H4" s="152"/>
      <c r="I4" s="103" t="s">
        <v>94</v>
      </c>
      <c r="J4" s="152"/>
      <c r="K4" s="103" t="s">
        <v>95</v>
      </c>
      <c r="L4" s="152"/>
      <c r="M4" s="134" t="s">
        <v>96</v>
      </c>
      <c r="N4" s="152"/>
      <c r="O4" s="103" t="s">
        <v>97</v>
      </c>
      <c r="P4" s="152"/>
    </row>
    <row r="5" spans="1:18" ht="30" customHeight="1" x14ac:dyDescent="0.2">
      <c r="A5" s="415"/>
      <c r="B5" s="104" t="s">
        <v>98</v>
      </c>
      <c r="C5" s="104" t="s">
        <v>98</v>
      </c>
      <c r="D5" s="157" t="s">
        <v>99</v>
      </c>
      <c r="E5" s="104" t="s">
        <v>100</v>
      </c>
      <c r="F5" s="157" t="s">
        <v>99</v>
      </c>
      <c r="G5" s="104" t="s">
        <v>100</v>
      </c>
      <c r="H5" s="157" t="s">
        <v>99</v>
      </c>
      <c r="I5" s="104" t="s">
        <v>101</v>
      </c>
      <c r="J5" s="157" t="s">
        <v>99</v>
      </c>
      <c r="K5" s="104" t="s">
        <v>101</v>
      </c>
      <c r="L5" s="157" t="s">
        <v>99</v>
      </c>
      <c r="M5" s="104" t="s">
        <v>101</v>
      </c>
      <c r="N5" s="157" t="s">
        <v>99</v>
      </c>
      <c r="O5" s="104" t="s">
        <v>101</v>
      </c>
      <c r="P5" s="157" t="s">
        <v>99</v>
      </c>
      <c r="Q5" s="131" t="s">
        <v>102</v>
      </c>
      <c r="R5" s="158" t="s">
        <v>103</v>
      </c>
    </row>
    <row r="6" spans="1:18" ht="15" customHeight="1" x14ac:dyDescent="0.2">
      <c r="A6" s="105" t="s">
        <v>104</v>
      </c>
      <c r="B6" s="105"/>
      <c r="C6" s="105"/>
      <c r="D6" s="153"/>
      <c r="E6" s="105"/>
      <c r="F6" s="153"/>
      <c r="G6" s="105"/>
      <c r="H6" s="153"/>
      <c r="J6" s="153"/>
      <c r="L6" s="153"/>
      <c r="N6" s="153"/>
      <c r="O6" s="121"/>
      <c r="P6" s="153"/>
      <c r="Q6" s="130"/>
      <c r="R6" s="159"/>
    </row>
    <row r="7" spans="1:18" ht="15" customHeight="1" x14ac:dyDescent="0.2">
      <c r="A7" s="106" t="s">
        <v>105</v>
      </c>
      <c r="B7" s="107">
        <v>9437241</v>
      </c>
      <c r="C7" s="107">
        <v>9130706</v>
      </c>
      <c r="D7" s="153">
        <f>IF(B7=0,"%",C7/B7-1)</f>
        <v>-3.2481421211983497E-2</v>
      </c>
      <c r="E7" s="107">
        <v>9328462</v>
      </c>
      <c r="F7" s="153">
        <f t="shared" ref="F7:F26" si="0">IF(C7=0,"%",E7/C7-1)</f>
        <v>2.1658347120145915E-2</v>
      </c>
      <c r="G7" s="107">
        <v>10017269</v>
      </c>
      <c r="H7" s="153">
        <f t="shared" ref="H7:H26" si="1">IF(E7=0,"%",G7/E7-1)</f>
        <v>7.383928883453672E-2</v>
      </c>
      <c r="I7" s="107">
        <v>10764372</v>
      </c>
      <c r="J7" s="153">
        <f t="shared" ref="J7:J26" si="2">IF(G7=0,"%",I7/G7-1)</f>
        <v>7.458150519867246E-2</v>
      </c>
      <c r="K7" s="107">
        <v>11111769</v>
      </c>
      <c r="L7" s="153">
        <f t="shared" ref="L7:L26" si="3">IF(I7=0,"%",K7/I7-1)</f>
        <v>3.2272853446536409E-2</v>
      </c>
      <c r="M7" s="135">
        <v>11313194</v>
      </c>
      <c r="N7" s="153">
        <f t="shared" ref="N7:N26" si="4">IF(K7=0,"%",M7/K7-1)</f>
        <v>1.8127176689868296E-2</v>
      </c>
      <c r="O7" s="107">
        <v>11322634</v>
      </c>
      <c r="P7" s="153">
        <f t="shared" ref="P7:P26" si="5">IF(M7=0,"%",O7/M7-1)</f>
        <v>8.3442394782595741E-4</v>
      </c>
      <c r="Q7" s="130">
        <f>IF(O7=0,"%",O7/B7-1)</f>
        <v>0.19978222448700844</v>
      </c>
      <c r="R7" s="159">
        <f t="shared" ref="R7:R26" si="6">IF(B7=0,"%",(O7/B7)^(1/7)-1)</f>
        <v>2.6361484402156021E-2</v>
      </c>
    </row>
    <row r="8" spans="1:18" ht="15" customHeight="1" x14ac:dyDescent="0.2">
      <c r="A8" s="106" t="s">
        <v>106</v>
      </c>
      <c r="B8" s="107">
        <v>20972905</v>
      </c>
      <c r="C8" s="107">
        <v>22718500</v>
      </c>
      <c r="D8" s="153">
        <f>IF(B8=0,"%",C8/B8-1)</f>
        <v>8.3230959182812203E-2</v>
      </c>
      <c r="E8" s="107">
        <v>23416390</v>
      </c>
      <c r="F8" s="153">
        <f t="shared" si="0"/>
        <v>3.0719017540770777E-2</v>
      </c>
      <c r="G8" s="107">
        <v>25132706</v>
      </c>
      <c r="H8" s="153">
        <f t="shared" si="1"/>
        <v>7.3295499434370637E-2</v>
      </c>
      <c r="I8" s="107">
        <v>26867608</v>
      </c>
      <c r="J8" s="153">
        <f t="shared" si="2"/>
        <v>6.9029654029295617E-2</v>
      </c>
      <c r="K8" s="107">
        <v>27670148</v>
      </c>
      <c r="L8" s="153">
        <f t="shared" si="3"/>
        <v>2.9870169313174433E-2</v>
      </c>
      <c r="M8" s="135">
        <v>28285418</v>
      </c>
      <c r="N8" s="153">
        <f t="shared" si="4"/>
        <v>2.2235876728957216E-2</v>
      </c>
      <c r="O8" s="107">
        <v>28300395</v>
      </c>
      <c r="P8" s="153">
        <f t="shared" si="5"/>
        <v>5.2949544532099324E-4</v>
      </c>
      <c r="Q8" s="130">
        <f>IF(O8=0,"%",O8/B8-1)</f>
        <v>0.34937887717509808</v>
      </c>
      <c r="R8" s="159">
        <f t="shared" si="6"/>
        <v>4.3735747737891906E-2</v>
      </c>
    </row>
    <row r="9" spans="1:18" ht="15" customHeight="1" x14ac:dyDescent="0.2">
      <c r="A9" s="106" t="s">
        <v>107</v>
      </c>
      <c r="B9" s="107">
        <f>0</f>
        <v>0</v>
      </c>
      <c r="C9" s="107">
        <f>0</f>
        <v>0</v>
      </c>
      <c r="D9" s="153" t="str">
        <f t="shared" ref="D9:D26" si="7">IF(B9=0,"%",C9/B9-1)</f>
        <v>%</v>
      </c>
      <c r="E9" s="107">
        <f>0</f>
        <v>0</v>
      </c>
      <c r="F9" s="153" t="str">
        <f t="shared" si="0"/>
        <v>%</v>
      </c>
      <c r="G9" s="107">
        <f>0</f>
        <v>0</v>
      </c>
      <c r="H9" s="153" t="str">
        <f t="shared" si="1"/>
        <v>%</v>
      </c>
      <c r="I9" s="107">
        <f>0</f>
        <v>0</v>
      </c>
      <c r="J9" s="153" t="str">
        <f t="shared" si="2"/>
        <v>%</v>
      </c>
      <c r="K9" s="107">
        <f>0</f>
        <v>0</v>
      </c>
      <c r="L9" s="153" t="str">
        <f t="shared" si="3"/>
        <v>%</v>
      </c>
      <c r="M9" s="135">
        <f>0</f>
        <v>0</v>
      </c>
      <c r="N9" s="153" t="str">
        <f t="shared" si="4"/>
        <v>%</v>
      </c>
      <c r="O9" s="107">
        <f>0</f>
        <v>0</v>
      </c>
      <c r="P9" s="153" t="str">
        <f t="shared" si="5"/>
        <v>%</v>
      </c>
      <c r="Q9" s="130" t="str">
        <f t="shared" ref="Q9:Q16" si="8">IF(O15=0,"%",O15/B15-1)</f>
        <v>%</v>
      </c>
      <c r="R9" s="159" t="str">
        <f t="shared" si="6"/>
        <v>%</v>
      </c>
    </row>
    <row r="10" spans="1:18" ht="15" customHeight="1" x14ac:dyDescent="0.2">
      <c r="A10" s="106" t="s">
        <v>108</v>
      </c>
      <c r="B10" s="107">
        <f>0</f>
        <v>0</v>
      </c>
      <c r="C10" s="107">
        <f>0</f>
        <v>0</v>
      </c>
      <c r="D10" s="153" t="str">
        <f t="shared" si="7"/>
        <v>%</v>
      </c>
      <c r="E10" s="107">
        <f>0</f>
        <v>0</v>
      </c>
      <c r="F10" s="153" t="str">
        <f t="shared" si="0"/>
        <v>%</v>
      </c>
      <c r="G10" s="107">
        <f>0</f>
        <v>0</v>
      </c>
      <c r="H10" s="153" t="str">
        <f t="shared" si="1"/>
        <v>%</v>
      </c>
      <c r="I10" s="107">
        <f>0</f>
        <v>0</v>
      </c>
      <c r="J10" s="153" t="str">
        <f t="shared" si="2"/>
        <v>%</v>
      </c>
      <c r="K10" s="107">
        <f>0</f>
        <v>0</v>
      </c>
      <c r="L10" s="153" t="str">
        <f t="shared" si="3"/>
        <v>%</v>
      </c>
      <c r="M10" s="135">
        <f>0</f>
        <v>0</v>
      </c>
      <c r="N10" s="153" t="str">
        <f t="shared" si="4"/>
        <v>%</v>
      </c>
      <c r="O10" s="107">
        <f>0</f>
        <v>0</v>
      </c>
      <c r="P10" s="153" t="str">
        <f t="shared" si="5"/>
        <v>%</v>
      </c>
      <c r="Q10" s="130" t="str">
        <f t="shared" si="8"/>
        <v>%</v>
      </c>
      <c r="R10" s="159" t="str">
        <f t="shared" si="6"/>
        <v>%</v>
      </c>
    </row>
    <row r="11" spans="1:18" ht="15" customHeight="1" x14ac:dyDescent="0.2">
      <c r="A11" s="106" t="s">
        <v>109</v>
      </c>
      <c r="B11" s="107">
        <f>0</f>
        <v>0</v>
      </c>
      <c r="C11" s="107">
        <f>0</f>
        <v>0</v>
      </c>
      <c r="D11" s="153" t="str">
        <f t="shared" si="7"/>
        <v>%</v>
      </c>
      <c r="E11" s="107">
        <f>0</f>
        <v>0</v>
      </c>
      <c r="F11" s="153" t="str">
        <f t="shared" si="0"/>
        <v>%</v>
      </c>
      <c r="G11" s="107">
        <f>0</f>
        <v>0</v>
      </c>
      <c r="H11" s="153" t="str">
        <f t="shared" si="1"/>
        <v>%</v>
      </c>
      <c r="I11" s="107">
        <f>0</f>
        <v>0</v>
      </c>
      <c r="J11" s="153" t="str">
        <f t="shared" si="2"/>
        <v>%</v>
      </c>
      <c r="K11" s="107">
        <f>0</f>
        <v>0</v>
      </c>
      <c r="L11" s="153" t="str">
        <f t="shared" si="3"/>
        <v>%</v>
      </c>
      <c r="M11" s="135">
        <f>0</f>
        <v>0</v>
      </c>
      <c r="N11" s="153" t="str">
        <f t="shared" si="4"/>
        <v>%</v>
      </c>
      <c r="O11" s="107">
        <f>0</f>
        <v>0</v>
      </c>
      <c r="P11" s="153" t="str">
        <f t="shared" si="5"/>
        <v>%</v>
      </c>
      <c r="Q11" s="130" t="str">
        <f t="shared" si="8"/>
        <v>%</v>
      </c>
      <c r="R11" s="159" t="str">
        <f t="shared" si="6"/>
        <v>%</v>
      </c>
    </row>
    <row r="12" spans="1:18" ht="15" customHeight="1" x14ac:dyDescent="0.2">
      <c r="A12" s="106" t="s">
        <v>110</v>
      </c>
      <c r="B12" s="107">
        <f>0</f>
        <v>0</v>
      </c>
      <c r="C12" s="107">
        <f>0</f>
        <v>0</v>
      </c>
      <c r="D12" s="153" t="str">
        <f t="shared" si="7"/>
        <v>%</v>
      </c>
      <c r="E12" s="107">
        <f>0</f>
        <v>0</v>
      </c>
      <c r="F12" s="153" t="str">
        <f t="shared" si="0"/>
        <v>%</v>
      </c>
      <c r="G12" s="107">
        <f>0</f>
        <v>0</v>
      </c>
      <c r="H12" s="153" t="str">
        <f t="shared" si="1"/>
        <v>%</v>
      </c>
      <c r="I12" s="107">
        <f>0</f>
        <v>0</v>
      </c>
      <c r="J12" s="153" t="str">
        <f t="shared" si="2"/>
        <v>%</v>
      </c>
      <c r="K12" s="107">
        <f>0</f>
        <v>0</v>
      </c>
      <c r="L12" s="153" t="str">
        <f t="shared" si="3"/>
        <v>%</v>
      </c>
      <c r="M12" s="135">
        <f>0</f>
        <v>0</v>
      </c>
      <c r="N12" s="153" t="str">
        <f t="shared" si="4"/>
        <v>%</v>
      </c>
      <c r="O12" s="107">
        <f>0</f>
        <v>0</v>
      </c>
      <c r="P12" s="153" t="str">
        <f t="shared" si="5"/>
        <v>%</v>
      </c>
      <c r="Q12" s="130" t="str">
        <f t="shared" si="8"/>
        <v>%</v>
      </c>
      <c r="R12" s="159" t="str">
        <f t="shared" si="6"/>
        <v>%</v>
      </c>
    </row>
    <row r="13" spans="1:18" ht="15" customHeight="1" x14ac:dyDescent="0.2">
      <c r="A13" s="106" t="s">
        <v>111</v>
      </c>
      <c r="B13" s="107">
        <f>0</f>
        <v>0</v>
      </c>
      <c r="C13" s="107">
        <f>0</f>
        <v>0</v>
      </c>
      <c r="D13" s="153" t="str">
        <f t="shared" si="7"/>
        <v>%</v>
      </c>
      <c r="E13" s="107">
        <f>0</f>
        <v>0</v>
      </c>
      <c r="F13" s="153" t="str">
        <f t="shared" si="0"/>
        <v>%</v>
      </c>
      <c r="G13" s="107">
        <f>0</f>
        <v>0</v>
      </c>
      <c r="H13" s="153" t="str">
        <f t="shared" si="1"/>
        <v>%</v>
      </c>
      <c r="I13" s="107">
        <f>0</f>
        <v>0</v>
      </c>
      <c r="J13" s="153" t="str">
        <f t="shared" si="2"/>
        <v>%</v>
      </c>
      <c r="K13" s="107">
        <f>0</f>
        <v>0</v>
      </c>
      <c r="L13" s="153" t="str">
        <f t="shared" si="3"/>
        <v>%</v>
      </c>
      <c r="M13" s="135">
        <f>0</f>
        <v>0</v>
      </c>
      <c r="N13" s="153" t="str">
        <f t="shared" si="4"/>
        <v>%</v>
      </c>
      <c r="O13" s="107">
        <f>0</f>
        <v>0</v>
      </c>
      <c r="P13" s="153" t="str">
        <f t="shared" si="5"/>
        <v>%</v>
      </c>
      <c r="Q13" s="130" t="str">
        <f t="shared" si="8"/>
        <v>%</v>
      </c>
      <c r="R13" s="159" t="str">
        <f t="shared" si="6"/>
        <v>%</v>
      </c>
    </row>
    <row r="14" spans="1:18" ht="15" customHeight="1" x14ac:dyDescent="0.2">
      <c r="A14" s="106" t="s">
        <v>112</v>
      </c>
      <c r="B14" s="107">
        <f>0</f>
        <v>0</v>
      </c>
      <c r="C14" s="107">
        <f>0</f>
        <v>0</v>
      </c>
      <c r="D14" s="153" t="str">
        <f t="shared" si="7"/>
        <v>%</v>
      </c>
      <c r="E14" s="107">
        <f>0</f>
        <v>0</v>
      </c>
      <c r="F14" s="153" t="str">
        <f t="shared" si="0"/>
        <v>%</v>
      </c>
      <c r="G14" s="107">
        <f>0</f>
        <v>0</v>
      </c>
      <c r="H14" s="153" t="str">
        <f t="shared" si="1"/>
        <v>%</v>
      </c>
      <c r="I14" s="107">
        <f>0</f>
        <v>0</v>
      </c>
      <c r="J14" s="153" t="str">
        <f t="shared" si="2"/>
        <v>%</v>
      </c>
      <c r="K14" s="107">
        <f>0</f>
        <v>0</v>
      </c>
      <c r="L14" s="153" t="str">
        <f t="shared" si="3"/>
        <v>%</v>
      </c>
      <c r="M14" s="135">
        <f>0</f>
        <v>0</v>
      </c>
      <c r="N14" s="153" t="str">
        <f t="shared" si="4"/>
        <v>%</v>
      </c>
      <c r="O14" s="107">
        <f>0</f>
        <v>0</v>
      </c>
      <c r="P14" s="153" t="str">
        <f t="shared" si="5"/>
        <v>%</v>
      </c>
      <c r="Q14" s="130" t="str">
        <f t="shared" si="8"/>
        <v>%</v>
      </c>
      <c r="R14" s="159" t="str">
        <f t="shared" si="6"/>
        <v>%</v>
      </c>
    </row>
    <row r="15" spans="1:18" ht="15" customHeight="1" x14ac:dyDescent="0.2">
      <c r="A15" s="106" t="s">
        <v>113</v>
      </c>
      <c r="B15" s="107">
        <f>0</f>
        <v>0</v>
      </c>
      <c r="C15" s="107">
        <f>0</f>
        <v>0</v>
      </c>
      <c r="D15" s="153" t="str">
        <f t="shared" si="7"/>
        <v>%</v>
      </c>
      <c r="E15" s="107">
        <f>0</f>
        <v>0</v>
      </c>
      <c r="F15" s="153" t="str">
        <f t="shared" si="0"/>
        <v>%</v>
      </c>
      <c r="G15" s="107">
        <f>0</f>
        <v>0</v>
      </c>
      <c r="H15" s="153" t="str">
        <f t="shared" si="1"/>
        <v>%</v>
      </c>
      <c r="I15" s="107">
        <f>0</f>
        <v>0</v>
      </c>
      <c r="J15" s="153" t="str">
        <f t="shared" si="2"/>
        <v>%</v>
      </c>
      <c r="K15" s="107">
        <f>0</f>
        <v>0</v>
      </c>
      <c r="L15" s="153" t="str">
        <f t="shared" si="3"/>
        <v>%</v>
      </c>
      <c r="M15" s="135">
        <f>0</f>
        <v>0</v>
      </c>
      <c r="N15" s="153" t="str">
        <f t="shared" si="4"/>
        <v>%</v>
      </c>
      <c r="O15" s="107">
        <f>0</f>
        <v>0</v>
      </c>
      <c r="P15" s="153" t="str">
        <f t="shared" si="5"/>
        <v>%</v>
      </c>
      <c r="Q15" s="130" t="str">
        <f t="shared" si="8"/>
        <v>%</v>
      </c>
      <c r="R15" s="159" t="str">
        <f t="shared" si="6"/>
        <v>%</v>
      </c>
    </row>
    <row r="16" spans="1:18" ht="15" customHeight="1" x14ac:dyDescent="0.2">
      <c r="A16" s="106" t="s">
        <v>114</v>
      </c>
      <c r="B16" s="107">
        <f>0</f>
        <v>0</v>
      </c>
      <c r="C16" s="107">
        <f>0</f>
        <v>0</v>
      </c>
      <c r="D16" s="153" t="str">
        <f t="shared" si="7"/>
        <v>%</v>
      </c>
      <c r="E16" s="107">
        <f>0</f>
        <v>0</v>
      </c>
      <c r="F16" s="153" t="str">
        <f t="shared" si="0"/>
        <v>%</v>
      </c>
      <c r="G16" s="107">
        <f>0</f>
        <v>0</v>
      </c>
      <c r="H16" s="153" t="str">
        <f t="shared" si="1"/>
        <v>%</v>
      </c>
      <c r="I16" s="107">
        <f>0</f>
        <v>0</v>
      </c>
      <c r="J16" s="153" t="str">
        <f t="shared" si="2"/>
        <v>%</v>
      </c>
      <c r="K16" s="107">
        <f>0</f>
        <v>0</v>
      </c>
      <c r="L16" s="153" t="str">
        <f t="shared" si="3"/>
        <v>%</v>
      </c>
      <c r="M16" s="135">
        <f>0</f>
        <v>0</v>
      </c>
      <c r="N16" s="153" t="str">
        <f t="shared" si="4"/>
        <v>%</v>
      </c>
      <c r="O16" s="107">
        <f>0</f>
        <v>0</v>
      </c>
      <c r="P16" s="153" t="str">
        <f t="shared" si="5"/>
        <v>%</v>
      </c>
      <c r="Q16" s="130" t="str">
        <f t="shared" si="8"/>
        <v>%</v>
      </c>
      <c r="R16" s="159" t="str">
        <f t="shared" si="6"/>
        <v>%</v>
      </c>
    </row>
    <row r="17" spans="1:18" ht="15" customHeight="1" x14ac:dyDescent="0.2">
      <c r="A17" s="106" t="s">
        <v>115</v>
      </c>
      <c r="B17" s="107">
        <f>0</f>
        <v>0</v>
      </c>
      <c r="C17" s="107">
        <f>0</f>
        <v>0</v>
      </c>
      <c r="D17" s="153" t="str">
        <f t="shared" si="7"/>
        <v>%</v>
      </c>
      <c r="E17" s="107">
        <f>0</f>
        <v>0</v>
      </c>
      <c r="F17" s="153" t="str">
        <f t="shared" si="0"/>
        <v>%</v>
      </c>
      <c r="G17" s="107">
        <f>0</f>
        <v>0</v>
      </c>
      <c r="H17" s="153" t="str">
        <f t="shared" si="1"/>
        <v>%</v>
      </c>
      <c r="I17" s="107">
        <f>0</f>
        <v>0</v>
      </c>
      <c r="J17" s="153" t="str">
        <f t="shared" si="2"/>
        <v>%</v>
      </c>
      <c r="K17" s="107">
        <f>0</f>
        <v>0</v>
      </c>
      <c r="L17" s="153" t="str">
        <f t="shared" si="3"/>
        <v>%</v>
      </c>
      <c r="M17" s="135">
        <f>0</f>
        <v>0</v>
      </c>
      <c r="N17" s="153" t="str">
        <f t="shared" si="4"/>
        <v>%</v>
      </c>
      <c r="O17" s="107">
        <f>0</f>
        <v>0</v>
      </c>
      <c r="P17" s="153" t="str">
        <f t="shared" si="5"/>
        <v>%</v>
      </c>
      <c r="Q17" s="130" t="str">
        <f>IF(O17=0,"%",O17/B17-1)</f>
        <v>%</v>
      </c>
      <c r="R17" s="159" t="str">
        <f t="shared" si="6"/>
        <v>%</v>
      </c>
    </row>
    <row r="18" spans="1:18" ht="15" customHeight="1" x14ac:dyDescent="0.2">
      <c r="A18" s="106" t="s">
        <v>116</v>
      </c>
      <c r="B18" s="107">
        <f>0</f>
        <v>0</v>
      </c>
      <c r="C18" s="107">
        <f>0</f>
        <v>0</v>
      </c>
      <c r="D18" s="153" t="str">
        <f t="shared" si="7"/>
        <v>%</v>
      </c>
      <c r="E18" s="107">
        <f>0</f>
        <v>0</v>
      </c>
      <c r="F18" s="153" t="str">
        <f t="shared" si="0"/>
        <v>%</v>
      </c>
      <c r="G18" s="107">
        <f>0</f>
        <v>0</v>
      </c>
      <c r="H18" s="153" t="str">
        <f t="shared" si="1"/>
        <v>%</v>
      </c>
      <c r="I18" s="107">
        <f>0</f>
        <v>0</v>
      </c>
      <c r="J18" s="153" t="str">
        <f t="shared" si="2"/>
        <v>%</v>
      </c>
      <c r="K18" s="107">
        <f>0</f>
        <v>0</v>
      </c>
      <c r="L18" s="153" t="str">
        <f t="shared" si="3"/>
        <v>%</v>
      </c>
      <c r="M18" s="135">
        <f>0</f>
        <v>0</v>
      </c>
      <c r="N18" s="153" t="str">
        <f t="shared" si="4"/>
        <v>%</v>
      </c>
      <c r="O18" s="107">
        <f>0</f>
        <v>0</v>
      </c>
      <c r="P18" s="153" t="str">
        <f t="shared" si="5"/>
        <v>%</v>
      </c>
      <c r="Q18" s="130" t="str">
        <f>IF(O18=0,"%",O18/B18-1)</f>
        <v>%</v>
      </c>
      <c r="R18" s="159" t="str">
        <f t="shared" si="6"/>
        <v>%</v>
      </c>
    </row>
    <row r="19" spans="1:18" ht="15" customHeight="1" x14ac:dyDescent="0.2">
      <c r="A19" s="106" t="s">
        <v>117</v>
      </c>
      <c r="B19" s="107">
        <f>0</f>
        <v>0</v>
      </c>
      <c r="C19" s="107">
        <f>0</f>
        <v>0</v>
      </c>
      <c r="D19" s="153" t="str">
        <f t="shared" si="7"/>
        <v>%</v>
      </c>
      <c r="E19" s="107">
        <f>0</f>
        <v>0</v>
      </c>
      <c r="F19" s="153" t="str">
        <f t="shared" si="0"/>
        <v>%</v>
      </c>
      <c r="G19" s="107">
        <f>0</f>
        <v>0</v>
      </c>
      <c r="H19" s="153" t="str">
        <f t="shared" si="1"/>
        <v>%</v>
      </c>
      <c r="I19" s="107">
        <f>0</f>
        <v>0</v>
      </c>
      <c r="J19" s="153" t="str">
        <f t="shared" si="2"/>
        <v>%</v>
      </c>
      <c r="K19" s="107">
        <f>0</f>
        <v>0</v>
      </c>
      <c r="L19" s="153" t="str">
        <f t="shared" si="3"/>
        <v>%</v>
      </c>
      <c r="M19" s="135">
        <f>0</f>
        <v>0</v>
      </c>
      <c r="N19" s="153" t="str">
        <f t="shared" si="4"/>
        <v>%</v>
      </c>
      <c r="O19" s="107">
        <f>0</f>
        <v>0</v>
      </c>
      <c r="P19" s="153" t="str">
        <f t="shared" si="5"/>
        <v>%</v>
      </c>
      <c r="Q19" s="130" t="str">
        <f t="shared" ref="Q19:Q22" si="9">IF(O27=0,"%",O27/B27-1)</f>
        <v>%</v>
      </c>
      <c r="R19" s="159" t="str">
        <f t="shared" si="6"/>
        <v>%</v>
      </c>
    </row>
    <row r="20" spans="1:18" ht="15" customHeight="1" x14ac:dyDescent="0.2">
      <c r="A20" s="106" t="s">
        <v>118</v>
      </c>
      <c r="B20" s="107">
        <f>0</f>
        <v>0</v>
      </c>
      <c r="C20" s="107">
        <f>0</f>
        <v>0</v>
      </c>
      <c r="D20" s="153" t="str">
        <f t="shared" si="7"/>
        <v>%</v>
      </c>
      <c r="E20" s="107">
        <f>0</f>
        <v>0</v>
      </c>
      <c r="F20" s="153" t="str">
        <f t="shared" si="0"/>
        <v>%</v>
      </c>
      <c r="G20" s="107">
        <f>0</f>
        <v>0</v>
      </c>
      <c r="H20" s="153" t="str">
        <f t="shared" si="1"/>
        <v>%</v>
      </c>
      <c r="I20" s="107">
        <f>0</f>
        <v>0</v>
      </c>
      <c r="J20" s="153" t="str">
        <f t="shared" si="2"/>
        <v>%</v>
      </c>
      <c r="K20" s="107">
        <f>0</f>
        <v>0</v>
      </c>
      <c r="L20" s="153" t="str">
        <f t="shared" si="3"/>
        <v>%</v>
      </c>
      <c r="M20" s="135">
        <f>0</f>
        <v>0</v>
      </c>
      <c r="N20" s="153" t="str">
        <f t="shared" si="4"/>
        <v>%</v>
      </c>
      <c r="O20" s="107">
        <f>0</f>
        <v>0</v>
      </c>
      <c r="P20" s="153" t="str">
        <f t="shared" si="5"/>
        <v>%</v>
      </c>
      <c r="Q20" s="130" t="str">
        <f t="shared" si="9"/>
        <v>%</v>
      </c>
      <c r="R20" s="159" t="str">
        <f t="shared" si="6"/>
        <v>%</v>
      </c>
    </row>
    <row r="21" spans="1:18" ht="15" customHeight="1" x14ac:dyDescent="0.2">
      <c r="A21" s="132" t="s">
        <v>119</v>
      </c>
      <c r="B21" s="109">
        <f>SUM(B11,B13,B15,B17,B19)</f>
        <v>0</v>
      </c>
      <c r="C21" s="109">
        <f>SUM(C11,C13,C15,C17,C19)</f>
        <v>0</v>
      </c>
      <c r="D21" s="153" t="str">
        <f t="shared" si="7"/>
        <v>%</v>
      </c>
      <c r="E21" s="109">
        <f>SUM(E11,E13,E15,E17,E19)</f>
        <v>0</v>
      </c>
      <c r="F21" s="153" t="str">
        <f t="shared" si="0"/>
        <v>%</v>
      </c>
      <c r="G21" s="109">
        <f>SUM(G11,G13,G15,G17,G19)</f>
        <v>0</v>
      </c>
      <c r="H21" s="153" t="str">
        <f t="shared" si="1"/>
        <v>%</v>
      </c>
      <c r="I21" s="109">
        <f t="shared" ref="I21:O21" si="10">SUM(I11,I13,I15,I17,I19)</f>
        <v>0</v>
      </c>
      <c r="J21" s="153" t="str">
        <f t="shared" si="2"/>
        <v>%</v>
      </c>
      <c r="K21" s="109">
        <f t="shared" si="10"/>
        <v>0</v>
      </c>
      <c r="L21" s="153" t="str">
        <f t="shared" si="3"/>
        <v>%</v>
      </c>
      <c r="M21" s="136">
        <f t="shared" si="10"/>
        <v>0</v>
      </c>
      <c r="N21" s="153" t="str">
        <f t="shared" si="4"/>
        <v>%</v>
      </c>
      <c r="O21" s="109">
        <f t="shared" si="10"/>
        <v>0</v>
      </c>
      <c r="P21" s="153" t="str">
        <f t="shared" si="5"/>
        <v>%</v>
      </c>
      <c r="Q21" s="130" t="str">
        <f t="shared" si="9"/>
        <v>%</v>
      </c>
      <c r="R21" s="159" t="str">
        <f t="shared" si="6"/>
        <v>%</v>
      </c>
    </row>
    <row r="22" spans="1:18" ht="15" customHeight="1" x14ac:dyDescent="0.2">
      <c r="A22" s="132" t="s">
        <v>120</v>
      </c>
      <c r="B22" s="109">
        <f>SUM(B12,B14,B16,B18,B20)</f>
        <v>0</v>
      </c>
      <c r="C22" s="109">
        <f>SUM(C12,C14,C16,C18,C20)</f>
        <v>0</v>
      </c>
      <c r="D22" s="153" t="str">
        <f t="shared" si="7"/>
        <v>%</v>
      </c>
      <c r="E22" s="109">
        <f>SUM(E12,E14,E16,E18,E20)</f>
        <v>0</v>
      </c>
      <c r="F22" s="153" t="str">
        <f t="shared" si="0"/>
        <v>%</v>
      </c>
      <c r="G22" s="109">
        <f>SUM(G12,G14,G16,G18,G20)</f>
        <v>0</v>
      </c>
      <c r="H22" s="153" t="str">
        <f t="shared" si="1"/>
        <v>%</v>
      </c>
      <c r="I22" s="109">
        <f t="shared" ref="I22:O22" si="11">SUM(I12,I14,I16,I18,I20)</f>
        <v>0</v>
      </c>
      <c r="J22" s="153" t="str">
        <f t="shared" si="2"/>
        <v>%</v>
      </c>
      <c r="K22" s="109">
        <f t="shared" si="11"/>
        <v>0</v>
      </c>
      <c r="L22" s="153" t="str">
        <f t="shared" si="3"/>
        <v>%</v>
      </c>
      <c r="M22" s="136">
        <f t="shared" si="11"/>
        <v>0</v>
      </c>
      <c r="N22" s="153" t="str">
        <f t="shared" si="4"/>
        <v>%</v>
      </c>
      <c r="O22" s="109">
        <f t="shared" si="11"/>
        <v>0</v>
      </c>
      <c r="P22" s="153" t="str">
        <f t="shared" si="5"/>
        <v>%</v>
      </c>
      <c r="Q22" s="130" t="str">
        <f t="shared" si="9"/>
        <v>%</v>
      </c>
      <c r="R22" s="159" t="str">
        <f t="shared" si="6"/>
        <v>%</v>
      </c>
    </row>
    <row r="23" spans="1:18" ht="15" customHeight="1" x14ac:dyDescent="0.2">
      <c r="A23" s="108" t="s">
        <v>121</v>
      </c>
      <c r="B23" s="107">
        <f>19505+219396</f>
        <v>238901</v>
      </c>
      <c r="C23" s="107">
        <f>26476+215325</f>
        <v>241801</v>
      </c>
      <c r="D23" s="153">
        <f t="shared" si="7"/>
        <v>1.21389194687338E-2</v>
      </c>
      <c r="E23" s="107">
        <f>27270+215325</f>
        <v>242595</v>
      </c>
      <c r="F23" s="153">
        <f t="shared" si="0"/>
        <v>3.2836919615717441E-3</v>
      </c>
      <c r="G23" s="107">
        <f>28089+215325</f>
        <v>243414</v>
      </c>
      <c r="H23" s="153">
        <f t="shared" si="1"/>
        <v>3.3759970320905719E-3</v>
      </c>
      <c r="I23" s="107">
        <f>88931+215325</f>
        <v>304256</v>
      </c>
      <c r="J23" s="153">
        <f t="shared" si="2"/>
        <v>0.24995275538793993</v>
      </c>
      <c r="K23" s="107">
        <f>89799+215325</f>
        <v>305124</v>
      </c>
      <c r="L23" s="153">
        <f t="shared" si="3"/>
        <v>2.8528607488431668E-3</v>
      </c>
      <c r="M23" s="135">
        <f>90693+215325</f>
        <v>306018</v>
      </c>
      <c r="N23" s="153">
        <f t="shared" si="4"/>
        <v>2.9299563456168798E-3</v>
      </c>
      <c r="O23" s="107">
        <f>91614+215325</f>
        <v>306939</v>
      </c>
      <c r="P23" s="153">
        <f t="shared" si="5"/>
        <v>3.009626884693084E-3</v>
      </c>
      <c r="Q23" s="130">
        <f>IF(O23=0,"%",O23/B23-1)</f>
        <v>0.28479579407369582</v>
      </c>
      <c r="R23" s="159">
        <f t="shared" si="6"/>
        <v>3.6448505048904734E-2</v>
      </c>
    </row>
    <row r="24" spans="1:18" ht="15" customHeight="1" x14ac:dyDescent="0.2">
      <c r="A24" s="133" t="s">
        <v>122</v>
      </c>
      <c r="B24" s="109">
        <f>SUM(B7:B20,B23)</f>
        <v>30649047</v>
      </c>
      <c r="C24" s="109">
        <f>SUM(C7:C20,C23)</f>
        <v>32091007</v>
      </c>
      <c r="D24" s="153">
        <f>IF(B24=0,"%",C24/B24-1)</f>
        <v>4.7047466108815605E-2</v>
      </c>
      <c r="E24" s="109">
        <f>SUM(E7:E20,E23)</f>
        <v>32987447</v>
      </c>
      <c r="F24" s="153">
        <f t="shared" si="0"/>
        <v>2.7934305707514984E-2</v>
      </c>
      <c r="G24" s="109">
        <f>SUM(G7:G20,G23)</f>
        <v>35393389</v>
      </c>
      <c r="H24" s="153">
        <f t="shared" si="1"/>
        <v>7.2935077394743475E-2</v>
      </c>
      <c r="I24" s="109">
        <f>SUM(I7:I20,I23)</f>
        <v>37936236</v>
      </c>
      <c r="J24" s="153">
        <f t="shared" si="2"/>
        <v>7.1845253360733663E-2</v>
      </c>
      <c r="K24" s="109">
        <f>SUM(K7:K20,K23)</f>
        <v>39087041</v>
      </c>
      <c r="L24" s="153">
        <f t="shared" si="3"/>
        <v>3.0335244645778747E-2</v>
      </c>
      <c r="M24" s="109">
        <f>SUM(M7:M20,M23)</f>
        <v>39904630</v>
      </c>
      <c r="N24" s="153">
        <f t="shared" si="4"/>
        <v>2.0917137216910353E-2</v>
      </c>
      <c r="O24" s="109">
        <f>SUM(O7:O20,O23)</f>
        <v>39929968</v>
      </c>
      <c r="P24" s="153">
        <f t="shared" si="5"/>
        <v>6.3496391270878583E-4</v>
      </c>
      <c r="Q24" s="130">
        <f>IF(O24=0,"%",O24/B24-1)</f>
        <v>0.30281271062033355</v>
      </c>
      <c r="R24" s="159">
        <f>IF(B24=0,"%",(O24/B24)^(1/7)-1)</f>
        <v>3.8512462137177961E-2</v>
      </c>
    </row>
    <row r="25" spans="1:18" ht="15" customHeight="1" x14ac:dyDescent="0.2">
      <c r="A25" s="133" t="s">
        <v>123</v>
      </c>
      <c r="B25" s="109">
        <v>21677121</v>
      </c>
      <c r="C25" s="109">
        <v>22216907</v>
      </c>
      <c r="D25" s="153">
        <f>IF(B25=0,"%",C25/B25-1)</f>
        <v>2.4901184986696245E-2</v>
      </c>
      <c r="E25" s="109">
        <f>C25</f>
        <v>22216907</v>
      </c>
      <c r="F25" s="153">
        <f t="shared" si="0"/>
        <v>0</v>
      </c>
      <c r="G25" s="109">
        <f>E25</f>
        <v>22216907</v>
      </c>
      <c r="H25" s="153">
        <f t="shared" si="1"/>
        <v>0</v>
      </c>
      <c r="I25" s="109">
        <f>G25</f>
        <v>22216907</v>
      </c>
      <c r="J25" s="153">
        <f t="shared" si="2"/>
        <v>0</v>
      </c>
      <c r="K25" s="109">
        <f>I25</f>
        <v>22216907</v>
      </c>
      <c r="L25" s="153">
        <f t="shared" si="3"/>
        <v>0</v>
      </c>
      <c r="M25" s="109">
        <f>K25</f>
        <v>22216907</v>
      </c>
      <c r="N25" s="153">
        <f t="shared" si="4"/>
        <v>0</v>
      </c>
      <c r="O25" s="109">
        <f>M25</f>
        <v>22216907</v>
      </c>
      <c r="P25" s="153">
        <f t="shared" si="5"/>
        <v>0</v>
      </c>
      <c r="Q25" s="130">
        <f>IF(O25=0,"%",O25/B25-1)</f>
        <v>2.4901184986696245E-2</v>
      </c>
      <c r="R25" s="159">
        <f>IF(B25=0,"%",(O25/B25)^(1/7)-1)</f>
        <v>3.5199237258192184E-3</v>
      </c>
    </row>
    <row r="26" spans="1:18" ht="15" customHeight="1" x14ac:dyDescent="0.2">
      <c r="A26" s="133" t="s">
        <v>124</v>
      </c>
      <c r="B26" s="109">
        <f>B25+B24</f>
        <v>52326168</v>
      </c>
      <c r="C26" s="109">
        <f>C25+C24</f>
        <v>54307914</v>
      </c>
      <c r="D26" s="153">
        <f t="shared" si="7"/>
        <v>3.7872943419055671E-2</v>
      </c>
      <c r="E26" s="109">
        <f>E25+E24</f>
        <v>55204354</v>
      </c>
      <c r="F26" s="153">
        <f t="shared" si="0"/>
        <v>1.6506618169867426E-2</v>
      </c>
      <c r="G26" s="109">
        <f>G25+G24</f>
        <v>57610296</v>
      </c>
      <c r="H26" s="153">
        <f t="shared" si="1"/>
        <v>4.358246815097222E-2</v>
      </c>
      <c r="I26" s="109">
        <f>I25+I24</f>
        <v>60153143</v>
      </c>
      <c r="J26" s="153">
        <f t="shared" si="2"/>
        <v>4.4138759502294622E-2</v>
      </c>
      <c r="K26" s="109">
        <f>K25+K24</f>
        <v>61303948</v>
      </c>
      <c r="L26" s="153">
        <f t="shared" si="3"/>
        <v>1.9131253041923424E-2</v>
      </c>
      <c r="M26" s="109">
        <f>M25+M24</f>
        <v>62121537</v>
      </c>
      <c r="N26" s="153">
        <f t="shared" si="4"/>
        <v>1.3336645137438818E-2</v>
      </c>
      <c r="O26" s="109">
        <f>O25+O24</f>
        <v>62146875</v>
      </c>
      <c r="P26" s="153">
        <f t="shared" si="5"/>
        <v>4.0787786689833183E-4</v>
      </c>
      <c r="Q26" s="130">
        <f>IF(O26=0,"%",O26/B26-1)</f>
        <v>0.18768251862051133</v>
      </c>
      <c r="R26" s="159">
        <f t="shared" si="6"/>
        <v>2.4876371498534944E-2</v>
      </c>
    </row>
    <row r="27" spans="1:18" ht="15" customHeight="1" x14ac:dyDescent="0.2">
      <c r="A27" s="93"/>
      <c r="B27" s="55"/>
      <c r="C27" s="55"/>
      <c r="D27" s="154"/>
      <c r="E27" s="55"/>
      <c r="F27" s="154"/>
      <c r="G27" s="55"/>
      <c r="H27" s="154"/>
      <c r="J27" s="154"/>
      <c r="L27" s="154"/>
      <c r="N27" s="154"/>
      <c r="P27" s="154"/>
    </row>
    <row r="28" spans="1:18" ht="15" customHeight="1" x14ac:dyDescent="0.2">
      <c r="A28" s="93"/>
      <c r="B28" s="55"/>
      <c r="C28" s="55"/>
      <c r="D28" s="154"/>
      <c r="E28" s="55"/>
      <c r="F28" s="154"/>
      <c r="G28" s="55"/>
      <c r="H28" s="154"/>
      <c r="J28" s="154"/>
      <c r="L28" s="154"/>
      <c r="N28" s="154"/>
      <c r="P28" s="154"/>
    </row>
    <row r="29" spans="1:18" ht="15" customHeight="1" x14ac:dyDescent="0.2">
      <c r="A29" s="81"/>
      <c r="B29" s="103" t="s">
        <v>90</v>
      </c>
      <c r="C29" s="103" t="s">
        <v>91</v>
      </c>
      <c r="D29" s="152"/>
      <c r="E29" s="103" t="s">
        <v>92</v>
      </c>
      <c r="F29" s="152"/>
      <c r="G29" s="103" t="s">
        <v>93</v>
      </c>
      <c r="H29" s="152"/>
      <c r="J29"/>
      <c r="L29"/>
      <c r="N29"/>
      <c r="P29"/>
    </row>
    <row r="30" spans="1:18" ht="15" customHeight="1" x14ac:dyDescent="0.2">
      <c r="A30" s="94" t="s">
        <v>125</v>
      </c>
      <c r="B30" s="95" t="s">
        <v>126</v>
      </c>
      <c r="C30" s="95" t="s">
        <v>126</v>
      </c>
      <c r="D30" s="157" t="s">
        <v>99</v>
      </c>
      <c r="E30" s="95" t="s">
        <v>126</v>
      </c>
      <c r="F30" s="157" t="s">
        <v>99</v>
      </c>
      <c r="G30" s="95" t="s">
        <v>126</v>
      </c>
      <c r="H30" s="157" t="s">
        <v>99</v>
      </c>
      <c r="J30"/>
      <c r="L30"/>
      <c r="N30"/>
      <c r="P30"/>
    </row>
    <row r="31" spans="1:18" ht="15" customHeight="1" x14ac:dyDescent="0.2">
      <c r="A31" s="108" t="s">
        <v>127</v>
      </c>
      <c r="B31" s="107">
        <v>9689044</v>
      </c>
      <c r="C31" s="107">
        <v>9627203</v>
      </c>
      <c r="D31" s="153">
        <f>IF(B31=0,"%",C31/B31-1)</f>
        <v>-6.382569838675467E-3</v>
      </c>
      <c r="E31" s="107">
        <v>9836467</v>
      </c>
      <c r="F31" s="153">
        <f>IF(C31=0,"%",E31/C31-1)</f>
        <v>2.1736739113115133E-2</v>
      </c>
      <c r="G31" s="107">
        <v>10488691</v>
      </c>
      <c r="H31" s="153">
        <f>IF(E31=0,"%",G31/E31-1)</f>
        <v>6.6306733911677851E-2</v>
      </c>
      <c r="J31"/>
      <c r="L31"/>
      <c r="N31"/>
      <c r="P31"/>
    </row>
    <row r="32" spans="1:18" ht="15" customHeight="1" x14ac:dyDescent="0.2">
      <c r="A32" s="108" t="s">
        <v>128</v>
      </c>
      <c r="B32" s="107">
        <v>5080840</v>
      </c>
      <c r="C32" s="107">
        <v>5776322</v>
      </c>
      <c r="D32" s="153">
        <f>IF(B32=0,"%",C32/B32-1)</f>
        <v>0.13688327127010491</v>
      </c>
      <c r="E32" s="107">
        <v>5927102</v>
      </c>
      <c r="F32" s="153">
        <f t="shared" ref="F32:H34" si="12">IF(C32=0,"%",E32/C32-1)</f>
        <v>2.6103115442664082E-2</v>
      </c>
      <c r="G32" s="107">
        <v>6320109</v>
      </c>
      <c r="H32" s="153">
        <f t="shared" si="12"/>
        <v>6.6306771842293166E-2</v>
      </c>
      <c r="J32"/>
      <c r="L32"/>
      <c r="N32"/>
      <c r="P32"/>
    </row>
    <row r="33" spans="1:16" ht="15" customHeight="1" x14ac:dyDescent="0.2">
      <c r="A33" s="132" t="s">
        <v>129</v>
      </c>
      <c r="B33" s="109">
        <f>B32+B31</f>
        <v>14769884</v>
      </c>
      <c r="C33" s="109">
        <f>C32+C31</f>
        <v>15403525</v>
      </c>
      <c r="D33" s="153">
        <f>IF(B33=0,"%",C33/B33-1)</f>
        <v>4.290087857155811E-2</v>
      </c>
      <c r="E33" s="109">
        <f>E32+E31</f>
        <v>15763569</v>
      </c>
      <c r="F33" s="153">
        <f t="shared" si="12"/>
        <v>2.3374130272129312E-2</v>
      </c>
      <c r="G33" s="109">
        <f>G32+G31</f>
        <v>16808800</v>
      </c>
      <c r="H33" s="153">
        <f t="shared" si="12"/>
        <v>6.6306748173589281E-2</v>
      </c>
      <c r="J33"/>
      <c r="L33"/>
      <c r="N33"/>
      <c r="P33"/>
    </row>
    <row r="34" spans="1:16" ht="15" customHeight="1" x14ac:dyDescent="0.2">
      <c r="A34" s="110" t="s">
        <v>130</v>
      </c>
      <c r="B34" s="107">
        <v>31554499</v>
      </c>
      <c r="C34" s="107">
        <v>32366987</v>
      </c>
      <c r="D34" s="153">
        <f>IF(B34=0,"%",C34/B34-1)</f>
        <v>2.5748721283769926E-2</v>
      </c>
      <c r="E34" s="107">
        <v>33179229</v>
      </c>
      <c r="F34" s="153">
        <f t="shared" si="12"/>
        <v>2.5094767084745895E-2</v>
      </c>
      <c r="G34" s="107">
        <v>35476639</v>
      </c>
      <c r="H34" s="153">
        <f t="shared" si="12"/>
        <v>6.9242416693890085E-2</v>
      </c>
      <c r="J34"/>
      <c r="L34"/>
      <c r="N34"/>
      <c r="P34"/>
    </row>
    <row r="35" spans="1:16" ht="15" customHeight="1" x14ac:dyDescent="0.2">
      <c r="A35" s="96"/>
      <c r="B35" s="55"/>
      <c r="C35" s="55"/>
      <c r="D35" s="155"/>
      <c r="E35" s="55"/>
      <c r="F35" s="155"/>
      <c r="G35" s="55"/>
      <c r="H35" s="155"/>
      <c r="J35" s="155"/>
      <c r="L35" s="155"/>
      <c r="N35" s="155"/>
      <c r="P35" s="155"/>
    </row>
  </sheetData>
  <sheetProtection selectLockedCells="1"/>
  <mergeCells count="4">
    <mergeCell ref="A2:G2"/>
    <mergeCell ref="A4:A5"/>
    <mergeCell ref="A3:G3"/>
    <mergeCell ref="I3:O3"/>
  </mergeCells>
  <phoneticPr fontId="10" type="noConversion"/>
  <pageMargins left="0.5" right="0" top="0" bottom="0" header="0" footer="0.1"/>
  <pageSetup scale="46" orientation="landscape" r:id="rId1"/>
  <headerFooter alignWithMargins="0">
    <oddFooter>&amp;L2017 Six-Year Plan - Finance-Tuition and Fees &amp;C&amp;P of &amp;N&amp;RSCHEV - 5/23/17</oddFooter>
  </headerFooter>
  <ignoredErrors>
    <ignoredError sqref="G9:G20 B9:C20 E9:E20" unlockedFormula="1"/>
    <ignoredError sqref="B33 G33 E33" formula="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K111"/>
  <sheetViews>
    <sheetView topLeftCell="A71" zoomScaleNormal="100" workbookViewId="0">
      <selection activeCell="E56" sqref="E56"/>
    </sheetView>
  </sheetViews>
  <sheetFormatPr defaultColWidth="9.140625" defaultRowHeight="12.75" x14ac:dyDescent="0.2"/>
  <cols>
    <col min="1" max="1" width="31.140625" style="8" customWidth="1"/>
    <col min="2" max="5" width="17.5703125" style="8" customWidth="1"/>
    <col min="6" max="8" width="15.5703125" style="8" customWidth="1"/>
    <col min="9" max="9" width="15.5703125" style="141" customWidth="1"/>
    <col min="10" max="16384" width="9.140625" style="8"/>
  </cols>
  <sheetData>
    <row r="1" spans="1:11" ht="20.100000000000001" customHeight="1" x14ac:dyDescent="0.2">
      <c r="A1" s="56" t="s">
        <v>131</v>
      </c>
      <c r="B1" s="56"/>
      <c r="C1" s="56"/>
      <c r="D1" s="56"/>
      <c r="E1" s="56"/>
    </row>
    <row r="2" spans="1:11" ht="20.100000000000001" customHeight="1" x14ac:dyDescent="0.2">
      <c r="A2" s="444" t="str">
        <f>'Institution ID'!C3</f>
        <v>Virginia Military Institute</v>
      </c>
      <c r="B2" s="444"/>
      <c r="C2" s="444"/>
      <c r="D2" s="444"/>
      <c r="E2" s="444"/>
    </row>
    <row r="3" spans="1:11" s="7" customFormat="1" ht="70.5" customHeight="1" x14ac:dyDescent="0.2">
      <c r="A3" s="452" t="s">
        <v>132</v>
      </c>
      <c r="B3" s="453"/>
      <c r="C3" s="453"/>
      <c r="D3" s="453"/>
      <c r="E3" s="453"/>
      <c r="F3" s="453"/>
      <c r="G3" s="453"/>
      <c r="H3" s="453"/>
      <c r="I3" s="142"/>
    </row>
    <row r="4" spans="1:11" s="7" customFormat="1" ht="41.45" customHeight="1" x14ac:dyDescent="0.2">
      <c r="A4" s="452" t="s">
        <v>133</v>
      </c>
      <c r="B4" s="453"/>
      <c r="C4" s="453"/>
      <c r="D4" s="453"/>
      <c r="E4" s="453"/>
      <c r="F4" s="453"/>
      <c r="G4" s="453"/>
      <c r="H4" s="453"/>
      <c r="I4" s="142"/>
    </row>
    <row r="5" spans="1:11" s="10" customFormat="1" ht="38.1" customHeight="1" x14ac:dyDescent="0.2">
      <c r="A5" s="454" t="s">
        <v>134</v>
      </c>
      <c r="B5" s="455"/>
      <c r="C5" s="455"/>
      <c r="D5" s="455"/>
      <c r="E5" s="455"/>
      <c r="F5" s="455"/>
      <c r="G5" s="455"/>
      <c r="H5" s="455"/>
      <c r="I5" s="143"/>
    </row>
    <row r="6" spans="1:11" s="10" customFormat="1" ht="20.100000000000001" customHeight="1" x14ac:dyDescent="0.3">
      <c r="A6" s="456" t="s">
        <v>135</v>
      </c>
      <c r="B6" s="457"/>
      <c r="C6" s="457"/>
      <c r="D6" s="457"/>
      <c r="E6" s="457"/>
      <c r="F6" s="457"/>
      <c r="G6" s="379"/>
      <c r="H6" s="379"/>
      <c r="I6" s="144"/>
    </row>
    <row r="7" spans="1:11" s="10" customFormat="1" ht="15" customHeight="1" x14ac:dyDescent="0.2">
      <c r="A7" s="435" t="s">
        <v>136</v>
      </c>
      <c r="B7" s="435"/>
      <c r="C7" s="435"/>
      <c r="D7" s="435"/>
      <c r="E7" s="435"/>
      <c r="F7" s="435"/>
      <c r="G7" s="435"/>
      <c r="H7" s="435"/>
      <c r="I7" s="145"/>
    </row>
    <row r="8" spans="1:11" s="10" customFormat="1" ht="15" customHeight="1" x14ac:dyDescent="0.2">
      <c r="A8" s="436" t="s">
        <v>137</v>
      </c>
      <c r="B8" s="438" t="s">
        <v>138</v>
      </c>
      <c r="C8" s="438" t="s">
        <v>139</v>
      </c>
      <c r="D8" s="429" t="s">
        <v>140</v>
      </c>
      <c r="E8" s="438" t="s">
        <v>141</v>
      </c>
      <c r="F8" s="438" t="s">
        <v>142</v>
      </c>
      <c r="G8" s="448" t="s">
        <v>143</v>
      </c>
      <c r="H8" s="449" t="s">
        <v>144</v>
      </c>
      <c r="I8" s="422" t="s">
        <v>145</v>
      </c>
    </row>
    <row r="9" spans="1:11" s="10" customFormat="1" ht="16.350000000000001" customHeight="1" thickBot="1" x14ac:dyDescent="0.25">
      <c r="A9" s="436"/>
      <c r="B9" s="439"/>
      <c r="C9" s="439"/>
      <c r="D9" s="429"/>
      <c r="E9" s="439"/>
      <c r="F9" s="439"/>
      <c r="G9" s="449"/>
      <c r="H9" s="449"/>
      <c r="I9" s="423"/>
    </row>
    <row r="10" spans="1:11" s="10" customFormat="1" ht="16.350000000000001" customHeight="1" x14ac:dyDescent="0.2">
      <c r="A10" s="436"/>
      <c r="B10" s="428"/>
      <c r="C10" s="428"/>
      <c r="D10" s="429"/>
      <c r="E10" s="428"/>
      <c r="F10" s="428"/>
      <c r="G10" s="450"/>
      <c r="H10" s="450"/>
      <c r="I10" s="423"/>
      <c r="J10" s="445" t="s">
        <v>146</v>
      </c>
      <c r="K10" s="432"/>
    </row>
    <row r="11" spans="1:11" s="10" customFormat="1" ht="16.350000000000001" customHeight="1" thickBot="1" x14ac:dyDescent="0.25">
      <c r="A11" s="437"/>
      <c r="B11" s="440"/>
      <c r="C11" s="440"/>
      <c r="D11" s="430"/>
      <c r="E11" s="440"/>
      <c r="F11" s="440"/>
      <c r="G11" s="451"/>
      <c r="H11" s="451"/>
      <c r="I11" s="424"/>
      <c r="J11" s="446" t="s">
        <v>147</v>
      </c>
      <c r="K11" s="434"/>
    </row>
    <row r="12" spans="1:11" s="10" customFormat="1" ht="16.350000000000001" customHeight="1" x14ac:dyDescent="0.2">
      <c r="A12" s="32" t="s">
        <v>105</v>
      </c>
      <c r="B12" s="37">
        <f>+'2-Revenue'!B7</f>
        <v>9437241</v>
      </c>
      <c r="C12" s="33">
        <v>0</v>
      </c>
      <c r="D12" s="82" t="str">
        <f t="shared" ref="D12:D18" si="0">IF(C12=0,"%",C12/B12)</f>
        <v>%</v>
      </c>
      <c r="E12" s="33">
        <v>483439</v>
      </c>
      <c r="F12" s="33">
        <f>0</f>
        <v>0</v>
      </c>
      <c r="G12" s="88">
        <v>542901</v>
      </c>
      <c r="H12" s="137">
        <f t="shared" ref="H12:H17" si="1">B12+F12+G12</f>
        <v>9980142</v>
      </c>
      <c r="I12" s="146">
        <f>IF(H12=0,"%",(F12+G12)/H12)</f>
        <v>5.4398123794230584E-2</v>
      </c>
      <c r="J12" s="83">
        <f>(C12+C14+C16)-(E12+E14+E16)</f>
        <v>-483439</v>
      </c>
      <c r="K12" s="84" t="str">
        <f>IF(J12&gt;0,"WARNING: IS subsidizing OS","Compliant")</f>
        <v>Compliant</v>
      </c>
    </row>
    <row r="13" spans="1:11" s="10" customFormat="1" ht="15" customHeight="1" x14ac:dyDescent="0.2">
      <c r="A13" s="34" t="s">
        <v>106</v>
      </c>
      <c r="B13" s="38">
        <f>+'2-Revenue'!B8</f>
        <v>20972905</v>
      </c>
      <c r="C13" s="33">
        <v>2017144</v>
      </c>
      <c r="D13" s="82">
        <f t="shared" si="0"/>
        <v>9.6178569444719267E-2</v>
      </c>
      <c r="E13" s="33">
        <v>1533705</v>
      </c>
      <c r="F13" s="33">
        <f>0</f>
        <v>0</v>
      </c>
      <c r="G13" s="88">
        <v>42000</v>
      </c>
      <c r="H13" s="138">
        <f t="shared" si="1"/>
        <v>21014905</v>
      </c>
      <c r="I13" s="146">
        <f t="shared" ref="I13:I18" si="2">IF(H13=0,"%",(F13+G13)/H13)</f>
        <v>1.9985814829998044E-3</v>
      </c>
    </row>
    <row r="14" spans="1:11" s="10" customFormat="1" ht="15" customHeight="1" x14ac:dyDescent="0.2">
      <c r="A14" s="34" t="s">
        <v>107</v>
      </c>
      <c r="B14" s="38">
        <f>+'2-Revenue'!B9</f>
        <v>0</v>
      </c>
      <c r="C14" s="33">
        <v>0</v>
      </c>
      <c r="D14" s="82" t="str">
        <f t="shared" si="0"/>
        <v>%</v>
      </c>
      <c r="E14" s="33">
        <v>0</v>
      </c>
      <c r="F14" s="33">
        <f>0</f>
        <v>0</v>
      </c>
      <c r="G14" s="88">
        <f>0</f>
        <v>0</v>
      </c>
      <c r="H14" s="138">
        <f t="shared" si="1"/>
        <v>0</v>
      </c>
      <c r="I14" s="146" t="str">
        <f t="shared" si="2"/>
        <v>%</v>
      </c>
    </row>
    <row r="15" spans="1:11" s="10" customFormat="1" ht="15" customHeight="1" x14ac:dyDescent="0.2">
      <c r="A15" s="34" t="s">
        <v>108</v>
      </c>
      <c r="B15" s="38">
        <f>+'2-Revenue'!B10</f>
        <v>0</v>
      </c>
      <c r="C15" s="33">
        <f>0</f>
        <v>0</v>
      </c>
      <c r="D15" s="82" t="str">
        <f t="shared" si="0"/>
        <v>%</v>
      </c>
      <c r="E15" s="33">
        <f>0</f>
        <v>0</v>
      </c>
      <c r="F15" s="33">
        <f>0</f>
        <v>0</v>
      </c>
      <c r="G15" s="88">
        <f>0</f>
        <v>0</v>
      </c>
      <c r="H15" s="138">
        <f t="shared" si="1"/>
        <v>0</v>
      </c>
      <c r="I15" s="146" t="str">
        <f>IF(H15=0,"%",(F15+G15)/H15)</f>
        <v>%</v>
      </c>
    </row>
    <row r="16" spans="1:11" s="10" customFormat="1" ht="15" customHeight="1" x14ac:dyDescent="0.2">
      <c r="A16" s="34" t="s">
        <v>148</v>
      </c>
      <c r="B16" s="38">
        <f>+SUM('2-Revenue'!B11+'2-Revenue'!B13+'2-Revenue'!B15+'2-Revenue'!B17+'2-Revenue'!B19)</f>
        <v>0</v>
      </c>
      <c r="C16" s="33">
        <v>0</v>
      </c>
      <c r="D16" s="82" t="str">
        <f t="shared" si="0"/>
        <v>%</v>
      </c>
      <c r="E16" s="33">
        <v>0</v>
      </c>
      <c r="F16" s="33">
        <f>0</f>
        <v>0</v>
      </c>
      <c r="G16" s="88">
        <f>0</f>
        <v>0</v>
      </c>
      <c r="H16" s="138">
        <f t="shared" si="1"/>
        <v>0</v>
      </c>
      <c r="I16" s="146" t="str">
        <f t="shared" si="2"/>
        <v>%</v>
      </c>
    </row>
    <row r="17" spans="1:11" s="10" customFormat="1" ht="15" customHeight="1" thickBot="1" x14ac:dyDescent="0.25">
      <c r="A17" s="35" t="s">
        <v>149</v>
      </c>
      <c r="B17" s="38">
        <f>+SUM('2-Revenue'!B12+'2-Revenue'!B14+'2-Revenue'!B16+'2-Revenue'!B18+'2-Revenue'!B20)</f>
        <v>0</v>
      </c>
      <c r="C17" s="33">
        <f>0</f>
        <v>0</v>
      </c>
      <c r="D17" s="85" t="str">
        <f t="shared" si="0"/>
        <v>%</v>
      </c>
      <c r="E17" s="33">
        <f>0</f>
        <v>0</v>
      </c>
      <c r="F17" s="33">
        <f>0</f>
        <v>0</v>
      </c>
      <c r="G17" s="88">
        <f>0</f>
        <v>0</v>
      </c>
      <c r="H17" s="139">
        <f t="shared" si="1"/>
        <v>0</v>
      </c>
      <c r="I17" s="146" t="str">
        <f t="shared" si="2"/>
        <v>%</v>
      </c>
    </row>
    <row r="18" spans="1:11" s="10" customFormat="1" ht="15" customHeight="1" thickBot="1" x14ac:dyDescent="0.25">
      <c r="A18" s="36" t="s">
        <v>150</v>
      </c>
      <c r="B18" s="39">
        <f>SUM(B12:B17)</f>
        <v>30410146</v>
      </c>
      <c r="C18" s="39">
        <f>SUM(C12:C17)</f>
        <v>2017144</v>
      </c>
      <c r="D18" s="86">
        <f t="shared" si="0"/>
        <v>6.6331282986934692E-2</v>
      </c>
      <c r="E18" s="39">
        <f>SUM(E12:E17)</f>
        <v>2017144</v>
      </c>
      <c r="F18" s="39">
        <f>SUM(F12:F17)</f>
        <v>0</v>
      </c>
      <c r="G18" s="39">
        <f>SUM(G12:G17)</f>
        <v>584901</v>
      </c>
      <c r="H18" s="140">
        <f>SUM(H12:H17)</f>
        <v>30995047</v>
      </c>
      <c r="I18" s="147">
        <f t="shared" si="2"/>
        <v>1.8870789258683816E-2</v>
      </c>
    </row>
    <row r="19" spans="1:11" s="10" customFormat="1" ht="15" customHeight="1" x14ac:dyDescent="0.2">
      <c r="A19" s="447"/>
      <c r="B19" s="447"/>
      <c r="C19" s="447"/>
      <c r="D19" s="447"/>
      <c r="E19" s="447"/>
      <c r="I19" s="148"/>
    </row>
    <row r="20" spans="1:11" s="10" customFormat="1" ht="15" customHeight="1" x14ac:dyDescent="0.2">
      <c r="A20" s="435" t="s">
        <v>151</v>
      </c>
      <c r="B20" s="435"/>
      <c r="C20" s="435"/>
      <c r="D20" s="435"/>
      <c r="E20" s="435"/>
      <c r="F20" s="435"/>
      <c r="G20" s="435"/>
      <c r="H20" s="435"/>
      <c r="I20" s="145"/>
    </row>
    <row r="21" spans="1:11" ht="15" customHeight="1" x14ac:dyDescent="0.2">
      <c r="A21" s="436" t="s">
        <v>137</v>
      </c>
      <c r="B21" s="438" t="s">
        <v>138</v>
      </c>
      <c r="C21" s="438" t="s">
        <v>139</v>
      </c>
      <c r="D21" s="429" t="s">
        <v>140</v>
      </c>
      <c r="E21" s="438" t="s">
        <v>141</v>
      </c>
      <c r="F21" s="438" t="s">
        <v>142</v>
      </c>
      <c r="G21" s="438" t="s">
        <v>143</v>
      </c>
      <c r="H21" s="439" t="s">
        <v>144</v>
      </c>
      <c r="I21" s="422" t="s">
        <v>145</v>
      </c>
    </row>
    <row r="22" spans="1:11" s="10" customFormat="1" ht="15" customHeight="1" thickBot="1" x14ac:dyDescent="0.25">
      <c r="A22" s="436"/>
      <c r="B22" s="439"/>
      <c r="C22" s="439"/>
      <c r="D22" s="429"/>
      <c r="E22" s="439"/>
      <c r="F22" s="439"/>
      <c r="G22" s="439"/>
      <c r="H22" s="439"/>
      <c r="I22" s="423"/>
    </row>
    <row r="23" spans="1:11" s="10" customFormat="1" ht="16.350000000000001" customHeight="1" x14ac:dyDescent="0.2">
      <c r="A23" s="436"/>
      <c r="B23" s="428"/>
      <c r="C23" s="428"/>
      <c r="D23" s="429"/>
      <c r="E23" s="428"/>
      <c r="F23" s="428"/>
      <c r="G23" s="428"/>
      <c r="H23" s="428"/>
      <c r="I23" s="423"/>
      <c r="J23" s="431" t="s">
        <v>146</v>
      </c>
      <c r="K23" s="432"/>
    </row>
    <row r="24" spans="1:11" s="10" customFormat="1" ht="16.350000000000001" customHeight="1" thickBot="1" x14ac:dyDescent="0.25">
      <c r="A24" s="437"/>
      <c r="B24" s="440"/>
      <c r="C24" s="440"/>
      <c r="D24" s="430"/>
      <c r="E24" s="440"/>
      <c r="F24" s="440"/>
      <c r="G24" s="440"/>
      <c r="H24" s="440"/>
      <c r="I24" s="424"/>
      <c r="J24" s="433" t="s">
        <v>147</v>
      </c>
      <c r="K24" s="434"/>
    </row>
    <row r="25" spans="1:11" s="10" customFormat="1" ht="16.350000000000001" customHeight="1" x14ac:dyDescent="0.2">
      <c r="A25" s="32" t="s">
        <v>105</v>
      </c>
      <c r="B25" s="37">
        <f>+'2-Revenue'!C7</f>
        <v>9130706</v>
      </c>
      <c r="C25" s="33">
        <f>0</f>
        <v>0</v>
      </c>
      <c r="D25" s="82" t="str">
        <f t="shared" ref="D25:D31" si="3">IF(C25=0,"%",C25/B25)</f>
        <v>%</v>
      </c>
      <c r="E25" s="33">
        <v>575000</v>
      </c>
      <c r="F25" s="33">
        <f>0</f>
        <v>0</v>
      </c>
      <c r="G25" s="33">
        <v>575000</v>
      </c>
      <c r="H25" s="90">
        <f t="shared" ref="H25:H30" si="4">B25+F25+G25</f>
        <v>9705706</v>
      </c>
      <c r="I25" s="146">
        <f>IF(H25=0,"%",(F25+G25)/H25)</f>
        <v>5.9243500678878999E-2</v>
      </c>
      <c r="J25" s="83">
        <f>(C25+C27+C29)-(E25+E27+E29)</f>
        <v>-575000</v>
      </c>
      <c r="K25" s="84" t="str">
        <f>IF(J25&gt;0,"WARNING: IS subsidizing OS","Compliant")</f>
        <v>Compliant</v>
      </c>
    </row>
    <row r="26" spans="1:11" s="10" customFormat="1" ht="16.350000000000001" customHeight="1" x14ac:dyDescent="0.2">
      <c r="A26" s="34" t="s">
        <v>106</v>
      </c>
      <c r="B26" s="38">
        <f>+'2-Revenue'!C8</f>
        <v>22718500</v>
      </c>
      <c r="C26" s="33">
        <v>2300000</v>
      </c>
      <c r="D26" s="82">
        <f t="shared" si="3"/>
        <v>0.1012390782842177</v>
      </c>
      <c r="E26" s="33">
        <v>1725000</v>
      </c>
      <c r="F26" s="33">
        <f>0</f>
        <v>0</v>
      </c>
      <c r="G26" s="33">
        <v>50000</v>
      </c>
      <c r="H26" s="91">
        <f t="shared" si="4"/>
        <v>22768500</v>
      </c>
      <c r="I26" s="146">
        <f t="shared" ref="I26:I31" si="5">IF(H26=0,"%",(F26+G26)/H26)</f>
        <v>2.196016426202868E-3</v>
      </c>
    </row>
    <row r="27" spans="1:11" s="10" customFormat="1" ht="15" customHeight="1" x14ac:dyDescent="0.2">
      <c r="A27" s="34" t="s">
        <v>107</v>
      </c>
      <c r="B27" s="38">
        <f>+'2-Revenue'!C9</f>
        <v>0</v>
      </c>
      <c r="C27" s="33">
        <f>0</f>
        <v>0</v>
      </c>
      <c r="D27" s="82" t="str">
        <f t="shared" si="3"/>
        <v>%</v>
      </c>
      <c r="E27" s="33">
        <f>0</f>
        <v>0</v>
      </c>
      <c r="F27" s="33">
        <f>0</f>
        <v>0</v>
      </c>
      <c r="G27" s="33">
        <f>0</f>
        <v>0</v>
      </c>
      <c r="H27" s="91">
        <f t="shared" si="4"/>
        <v>0</v>
      </c>
      <c r="I27" s="146" t="str">
        <f t="shared" si="5"/>
        <v>%</v>
      </c>
    </row>
    <row r="28" spans="1:11" s="10" customFormat="1" ht="15" customHeight="1" x14ac:dyDescent="0.2">
      <c r="A28" s="34" t="s">
        <v>108</v>
      </c>
      <c r="B28" s="38">
        <f>+'2-Revenue'!C10</f>
        <v>0</v>
      </c>
      <c r="C28" s="33">
        <f>0</f>
        <v>0</v>
      </c>
      <c r="D28" s="82" t="str">
        <f t="shared" si="3"/>
        <v>%</v>
      </c>
      <c r="E28" s="33">
        <f>0</f>
        <v>0</v>
      </c>
      <c r="F28" s="33">
        <f>0</f>
        <v>0</v>
      </c>
      <c r="G28" s="33">
        <f>0</f>
        <v>0</v>
      </c>
      <c r="H28" s="91">
        <f t="shared" si="4"/>
        <v>0</v>
      </c>
      <c r="I28" s="146" t="str">
        <f t="shared" si="5"/>
        <v>%</v>
      </c>
    </row>
    <row r="29" spans="1:11" s="10" customFormat="1" ht="15" customHeight="1" x14ac:dyDescent="0.2">
      <c r="A29" s="34" t="s">
        <v>148</v>
      </c>
      <c r="B29" s="38">
        <f>+SUM('2-Revenue'!C11+'2-Revenue'!C13+'2-Revenue'!C15+'2-Revenue'!C17+'2-Revenue'!C19)</f>
        <v>0</v>
      </c>
      <c r="C29" s="33">
        <f>0</f>
        <v>0</v>
      </c>
      <c r="D29" s="82" t="str">
        <f t="shared" si="3"/>
        <v>%</v>
      </c>
      <c r="E29" s="33">
        <f>0</f>
        <v>0</v>
      </c>
      <c r="F29" s="33">
        <f>0</f>
        <v>0</v>
      </c>
      <c r="G29" s="33">
        <f>0</f>
        <v>0</v>
      </c>
      <c r="H29" s="91">
        <f t="shared" si="4"/>
        <v>0</v>
      </c>
      <c r="I29" s="146" t="str">
        <f t="shared" si="5"/>
        <v>%</v>
      </c>
    </row>
    <row r="30" spans="1:11" s="10" customFormat="1" ht="15" customHeight="1" thickBot="1" x14ac:dyDescent="0.25">
      <c r="A30" s="35" t="s">
        <v>149</v>
      </c>
      <c r="B30" s="38">
        <f>+SUM('2-Revenue'!C12+'2-Revenue'!C14+'2-Revenue'!C16+'2-Revenue'!C18+'2-Revenue'!C20)</f>
        <v>0</v>
      </c>
      <c r="C30" s="33">
        <f>0</f>
        <v>0</v>
      </c>
      <c r="D30" s="85" t="str">
        <f t="shared" si="3"/>
        <v>%</v>
      </c>
      <c r="E30" s="33">
        <f>0</f>
        <v>0</v>
      </c>
      <c r="F30" s="33">
        <f>0</f>
        <v>0</v>
      </c>
      <c r="G30" s="33">
        <f>0</f>
        <v>0</v>
      </c>
      <c r="H30" s="92">
        <f t="shared" si="4"/>
        <v>0</v>
      </c>
      <c r="I30" s="146" t="str">
        <f t="shared" si="5"/>
        <v>%</v>
      </c>
    </row>
    <row r="31" spans="1:11" s="10" customFormat="1" ht="15" customHeight="1" thickBot="1" x14ac:dyDescent="0.25">
      <c r="A31" s="36" t="s">
        <v>150</v>
      </c>
      <c r="B31" s="41">
        <f>SUM(B25:B30)</f>
        <v>31849206</v>
      </c>
      <c r="C31" s="41">
        <f t="shared" ref="C31:H31" si="6">SUM(C25:C30)</f>
        <v>2300000</v>
      </c>
      <c r="D31" s="86">
        <f t="shared" si="3"/>
        <v>7.2215301065904125E-2</v>
      </c>
      <c r="E31" s="41">
        <f t="shared" si="6"/>
        <v>2300000</v>
      </c>
      <c r="F31" s="39">
        <f t="shared" si="6"/>
        <v>0</v>
      </c>
      <c r="G31" s="39">
        <f t="shared" si="6"/>
        <v>625000</v>
      </c>
      <c r="H31" s="89">
        <f t="shared" si="6"/>
        <v>32474206</v>
      </c>
      <c r="I31" s="147">
        <f t="shared" si="5"/>
        <v>1.9246044075719664E-2</v>
      </c>
    </row>
    <row r="32" spans="1:11" s="10" customFormat="1" ht="15" customHeight="1" x14ac:dyDescent="0.2">
      <c r="A32" s="443"/>
      <c r="B32" s="443"/>
      <c r="C32" s="443"/>
      <c r="D32" s="443"/>
      <c r="E32" s="443"/>
      <c r="I32" s="148"/>
    </row>
    <row r="33" spans="1:11" s="10" customFormat="1" ht="15" customHeight="1" x14ac:dyDescent="0.2">
      <c r="A33" s="435" t="s">
        <v>152</v>
      </c>
      <c r="B33" s="435"/>
      <c r="C33" s="435"/>
      <c r="D33" s="435"/>
      <c r="E33" s="435"/>
      <c r="F33" s="435"/>
      <c r="G33" s="435"/>
      <c r="H33" s="435"/>
      <c r="I33" s="145"/>
    </row>
    <row r="34" spans="1:11" ht="15" customHeight="1" x14ac:dyDescent="0.2">
      <c r="A34" s="436" t="s">
        <v>137</v>
      </c>
      <c r="B34" s="438" t="s">
        <v>138</v>
      </c>
      <c r="C34" s="438" t="s">
        <v>139</v>
      </c>
      <c r="D34" s="429" t="s">
        <v>140</v>
      </c>
      <c r="E34" s="438" t="s">
        <v>141</v>
      </c>
      <c r="F34" s="438" t="s">
        <v>142</v>
      </c>
      <c r="G34" s="438" t="s">
        <v>143</v>
      </c>
      <c r="H34" s="439" t="s">
        <v>144</v>
      </c>
      <c r="I34" s="422" t="s">
        <v>145</v>
      </c>
    </row>
    <row r="35" spans="1:11" ht="12.6" customHeight="1" thickBot="1" x14ac:dyDescent="0.25">
      <c r="A35" s="436"/>
      <c r="B35" s="439"/>
      <c r="C35" s="439"/>
      <c r="D35" s="429"/>
      <c r="E35" s="439"/>
      <c r="F35" s="439"/>
      <c r="G35" s="439"/>
      <c r="H35" s="439"/>
      <c r="I35" s="423"/>
      <c r="J35" s="10"/>
    </row>
    <row r="36" spans="1:11" s="10" customFormat="1" ht="15" customHeight="1" x14ac:dyDescent="0.2">
      <c r="A36" s="436"/>
      <c r="B36" s="428"/>
      <c r="C36" s="428"/>
      <c r="D36" s="429"/>
      <c r="E36" s="428"/>
      <c r="F36" s="428"/>
      <c r="G36" s="428"/>
      <c r="H36" s="428"/>
      <c r="I36" s="423"/>
      <c r="J36" s="431" t="s">
        <v>146</v>
      </c>
      <c r="K36" s="432"/>
    </row>
    <row r="37" spans="1:11" s="10" customFormat="1" ht="16.350000000000001" customHeight="1" thickBot="1" x14ac:dyDescent="0.25">
      <c r="A37" s="437"/>
      <c r="B37" s="440"/>
      <c r="C37" s="440"/>
      <c r="D37" s="430"/>
      <c r="E37" s="440"/>
      <c r="F37" s="440"/>
      <c r="G37" s="440"/>
      <c r="H37" s="440"/>
      <c r="I37" s="424"/>
      <c r="J37" s="433" t="s">
        <v>147</v>
      </c>
      <c r="K37" s="434"/>
    </row>
    <row r="38" spans="1:11" s="10" customFormat="1" ht="16.350000000000001" customHeight="1" x14ac:dyDescent="0.2">
      <c r="A38" s="32" t="s">
        <v>105</v>
      </c>
      <c r="B38" s="37">
        <f>+'2-Revenue'!E7</f>
        <v>9328462</v>
      </c>
      <c r="C38" s="33">
        <f>0</f>
        <v>0</v>
      </c>
      <c r="D38" s="82" t="str">
        <f t="shared" ref="D38:D44" si="7">IF(C38=0,"%",C38/B38)</f>
        <v>%</v>
      </c>
      <c r="E38" s="33">
        <v>600000</v>
      </c>
      <c r="F38" s="33">
        <f>0</f>
        <v>0</v>
      </c>
      <c r="G38" s="33">
        <v>625000</v>
      </c>
      <c r="H38" s="90">
        <f t="shared" ref="H38:H43" si="8">B38+F38+G38</f>
        <v>9953462</v>
      </c>
      <c r="I38" s="146">
        <f>IF(H38=0,"%",(F38+G38)/H38)</f>
        <v>6.2792222444813681E-2</v>
      </c>
      <c r="J38" s="83">
        <f>(C38+C40+C42)-(E38+E40+E42)</f>
        <v>-600000</v>
      </c>
      <c r="K38" s="84" t="str">
        <f>IF(J38&gt;0,"WARNING: IS subsidizing OS","Compliant")</f>
        <v>Compliant</v>
      </c>
    </row>
    <row r="39" spans="1:11" s="10" customFormat="1" ht="16.350000000000001" customHeight="1" x14ac:dyDescent="0.2">
      <c r="A39" s="34" t="s">
        <v>106</v>
      </c>
      <c r="B39" s="40">
        <f>+'2-Revenue'!E8</f>
        <v>23416390</v>
      </c>
      <c r="C39" s="33">
        <v>2400000</v>
      </c>
      <c r="D39" s="82">
        <f t="shared" si="7"/>
        <v>0.10249231414406747</v>
      </c>
      <c r="E39" s="33">
        <v>1800000</v>
      </c>
      <c r="F39" s="33">
        <f>0</f>
        <v>0</v>
      </c>
      <c r="G39" s="33">
        <v>50000</v>
      </c>
      <c r="H39" s="91">
        <f t="shared" si="8"/>
        <v>23466390</v>
      </c>
      <c r="I39" s="146">
        <f t="shared" ref="I39:I44" si="9">IF(H39=0,"%",(F39+G39)/H39)</f>
        <v>2.1307069387323744E-3</v>
      </c>
    </row>
    <row r="40" spans="1:11" s="10" customFormat="1" ht="16.350000000000001" customHeight="1" x14ac:dyDescent="0.2">
      <c r="A40" s="34" t="s">
        <v>107</v>
      </c>
      <c r="B40" s="40">
        <f>+'2-Revenue'!E9</f>
        <v>0</v>
      </c>
      <c r="C40" s="33">
        <f>0</f>
        <v>0</v>
      </c>
      <c r="D40" s="82" t="str">
        <f t="shared" si="7"/>
        <v>%</v>
      </c>
      <c r="E40" s="33">
        <f>0</f>
        <v>0</v>
      </c>
      <c r="F40" s="33">
        <f>0</f>
        <v>0</v>
      </c>
      <c r="G40" s="33">
        <f>0</f>
        <v>0</v>
      </c>
      <c r="H40" s="91">
        <f t="shared" si="8"/>
        <v>0</v>
      </c>
      <c r="I40" s="146" t="str">
        <f t="shared" si="9"/>
        <v>%</v>
      </c>
    </row>
    <row r="41" spans="1:11" s="10" customFormat="1" ht="15" customHeight="1" x14ac:dyDescent="0.2">
      <c r="A41" s="34" t="s">
        <v>108</v>
      </c>
      <c r="B41" s="40">
        <f>+'2-Revenue'!E10</f>
        <v>0</v>
      </c>
      <c r="C41" s="33">
        <f>0</f>
        <v>0</v>
      </c>
      <c r="D41" s="82" t="str">
        <f t="shared" si="7"/>
        <v>%</v>
      </c>
      <c r="E41" s="33">
        <f>0</f>
        <v>0</v>
      </c>
      <c r="F41" s="33">
        <f>0</f>
        <v>0</v>
      </c>
      <c r="G41" s="33">
        <f>0</f>
        <v>0</v>
      </c>
      <c r="H41" s="91">
        <f t="shared" si="8"/>
        <v>0</v>
      </c>
      <c r="I41" s="146" t="str">
        <f t="shared" si="9"/>
        <v>%</v>
      </c>
    </row>
    <row r="42" spans="1:11" s="10" customFormat="1" ht="15" customHeight="1" x14ac:dyDescent="0.2">
      <c r="A42" s="34" t="s">
        <v>148</v>
      </c>
      <c r="B42" s="38">
        <f>+SUM('2-Revenue'!E11+'2-Revenue'!E13+'2-Revenue'!E15+'2-Revenue'!E17+'2-Revenue'!E19)</f>
        <v>0</v>
      </c>
      <c r="C42" s="33">
        <f>0</f>
        <v>0</v>
      </c>
      <c r="D42" s="82" t="str">
        <f t="shared" si="7"/>
        <v>%</v>
      </c>
      <c r="E42" s="33">
        <f>0</f>
        <v>0</v>
      </c>
      <c r="F42" s="33">
        <f>0</f>
        <v>0</v>
      </c>
      <c r="G42" s="33">
        <f>0</f>
        <v>0</v>
      </c>
      <c r="H42" s="91">
        <f t="shared" si="8"/>
        <v>0</v>
      </c>
      <c r="I42" s="146" t="str">
        <f t="shared" si="9"/>
        <v>%</v>
      </c>
    </row>
    <row r="43" spans="1:11" s="10" customFormat="1" ht="15" customHeight="1" thickBot="1" x14ac:dyDescent="0.25">
      <c r="A43" s="35" t="s">
        <v>149</v>
      </c>
      <c r="B43" s="38">
        <f>+SUM('2-Revenue'!E12+'2-Revenue'!E14+'2-Revenue'!E16+'2-Revenue'!E18+'2-Revenue'!E20)</f>
        <v>0</v>
      </c>
      <c r="C43" s="33">
        <f>0</f>
        <v>0</v>
      </c>
      <c r="D43" s="82" t="str">
        <f t="shared" si="7"/>
        <v>%</v>
      </c>
      <c r="E43" s="33">
        <f>0</f>
        <v>0</v>
      </c>
      <c r="F43" s="33">
        <f>0</f>
        <v>0</v>
      </c>
      <c r="G43" s="33">
        <f>0</f>
        <v>0</v>
      </c>
      <c r="H43" s="92">
        <f t="shared" si="8"/>
        <v>0</v>
      </c>
      <c r="I43" s="146" t="str">
        <f t="shared" si="9"/>
        <v>%</v>
      </c>
    </row>
    <row r="44" spans="1:11" s="10" customFormat="1" ht="15" customHeight="1" thickBot="1" x14ac:dyDescent="0.25">
      <c r="A44" s="36" t="s">
        <v>150</v>
      </c>
      <c r="B44" s="41">
        <f>SUM(B38:B43)</f>
        <v>32744852</v>
      </c>
      <c r="C44" s="41">
        <f t="shared" ref="C44:H44" si="10">SUM(C38:C43)</f>
        <v>2400000</v>
      </c>
      <c r="D44" s="86">
        <f t="shared" si="7"/>
        <v>7.3293963887819683E-2</v>
      </c>
      <c r="E44" s="41">
        <f t="shared" si="10"/>
        <v>2400000</v>
      </c>
      <c r="F44" s="39">
        <f t="shared" si="10"/>
        <v>0</v>
      </c>
      <c r="G44" s="39">
        <f t="shared" si="10"/>
        <v>675000</v>
      </c>
      <c r="H44" s="89">
        <f t="shared" si="10"/>
        <v>33419852</v>
      </c>
      <c r="I44" s="147">
        <f t="shared" si="9"/>
        <v>2.0197575979690154E-2</v>
      </c>
    </row>
    <row r="45" spans="1:11" s="10" customFormat="1" ht="15" customHeight="1" x14ac:dyDescent="0.2">
      <c r="A45" s="441"/>
      <c r="B45" s="441"/>
      <c r="C45" s="441"/>
      <c r="D45" s="441"/>
      <c r="E45" s="441"/>
      <c r="I45" s="148"/>
    </row>
    <row r="46" spans="1:11" s="10" customFormat="1" ht="15" customHeight="1" x14ac:dyDescent="0.2">
      <c r="A46" s="435" t="s">
        <v>153</v>
      </c>
      <c r="B46" s="435"/>
      <c r="C46" s="435"/>
      <c r="D46" s="435"/>
      <c r="E46" s="435"/>
      <c r="F46" s="435"/>
      <c r="G46" s="435"/>
      <c r="H46" s="435"/>
      <c r="I46" s="145"/>
    </row>
    <row r="47" spans="1:11" ht="15" customHeight="1" x14ac:dyDescent="0.2">
      <c r="A47" s="436" t="s">
        <v>137</v>
      </c>
      <c r="B47" s="438" t="s">
        <v>138</v>
      </c>
      <c r="C47" s="438" t="s">
        <v>139</v>
      </c>
      <c r="D47" s="429" t="s">
        <v>140</v>
      </c>
      <c r="E47" s="438" t="s">
        <v>141</v>
      </c>
      <c r="F47" s="438" t="s">
        <v>142</v>
      </c>
      <c r="G47" s="438" t="s">
        <v>143</v>
      </c>
      <c r="H47" s="439" t="s">
        <v>144</v>
      </c>
      <c r="I47" s="422" t="s">
        <v>145</v>
      </c>
    </row>
    <row r="48" spans="1:11" ht="15" customHeight="1" thickBot="1" x14ac:dyDescent="0.25">
      <c r="A48" s="436"/>
      <c r="B48" s="439"/>
      <c r="C48" s="439"/>
      <c r="D48" s="429"/>
      <c r="E48" s="439"/>
      <c r="F48" s="439"/>
      <c r="G48" s="439"/>
      <c r="H48" s="439"/>
      <c r="I48" s="423"/>
      <c r="J48" s="10"/>
    </row>
    <row r="49" spans="1:11" ht="15" customHeight="1" x14ac:dyDescent="0.2">
      <c r="A49" s="436"/>
      <c r="B49" s="428"/>
      <c r="C49" s="428"/>
      <c r="D49" s="429"/>
      <c r="E49" s="428"/>
      <c r="F49" s="428"/>
      <c r="G49" s="428"/>
      <c r="H49" s="428"/>
      <c r="I49" s="423"/>
      <c r="J49" s="431" t="s">
        <v>146</v>
      </c>
      <c r="K49" s="432"/>
    </row>
    <row r="50" spans="1:11" ht="15" customHeight="1" thickBot="1" x14ac:dyDescent="0.25">
      <c r="A50" s="437"/>
      <c r="B50" s="440"/>
      <c r="C50" s="440"/>
      <c r="D50" s="430"/>
      <c r="E50" s="440"/>
      <c r="F50" s="440"/>
      <c r="G50" s="440"/>
      <c r="H50" s="440"/>
      <c r="I50" s="424"/>
      <c r="J50" s="433" t="s">
        <v>147</v>
      </c>
      <c r="K50" s="434"/>
    </row>
    <row r="51" spans="1:11" ht="15" x14ac:dyDescent="0.2">
      <c r="A51" s="32" t="s">
        <v>105</v>
      </c>
      <c r="B51" s="37">
        <f>+'2-Revenue'!G7</f>
        <v>10017269</v>
      </c>
      <c r="C51" s="33">
        <f>0</f>
        <v>0</v>
      </c>
      <c r="D51" s="82" t="str">
        <f t="shared" ref="D51:D57" si="11">IF(C51=0,"%",C51/B51)</f>
        <v>%</v>
      </c>
      <c r="E51" s="33">
        <v>625000</v>
      </c>
      <c r="F51" s="33">
        <f>0</f>
        <v>0</v>
      </c>
      <c r="G51" s="33">
        <v>640000</v>
      </c>
      <c r="H51" s="90">
        <f t="shared" ref="H51:H56" si="12">B51+F51+G51</f>
        <v>10657269</v>
      </c>
      <c r="I51" s="146">
        <f>IF(H51=0,"%",(F51+G51)/H51)</f>
        <v>6.0052908489032227E-2</v>
      </c>
      <c r="J51" s="83">
        <f>(C51+C53+C55)-(E51+E53+E55)</f>
        <v>-625000</v>
      </c>
      <c r="K51" s="84" t="str">
        <f>IF(J51&gt;0,"WARNING: IS subsidizing OS","Compliant")</f>
        <v>Compliant</v>
      </c>
    </row>
    <row r="52" spans="1:11" ht="15" x14ac:dyDescent="0.2">
      <c r="A52" s="34" t="s">
        <v>106</v>
      </c>
      <c r="B52" s="40">
        <f>+'2-Revenue'!G8</f>
        <v>25132706</v>
      </c>
      <c r="C52" s="33">
        <v>2500000</v>
      </c>
      <c r="D52" s="82">
        <f t="shared" si="11"/>
        <v>9.9471978862920696E-2</v>
      </c>
      <c r="E52" s="33">
        <v>1875000</v>
      </c>
      <c r="F52" s="33">
        <f>0</f>
        <v>0</v>
      </c>
      <c r="G52" s="33">
        <v>50000</v>
      </c>
      <c r="H52" s="91">
        <f t="shared" si="12"/>
        <v>25182706</v>
      </c>
      <c r="I52" s="146">
        <f t="shared" ref="I52:I57" si="13">IF(H52=0,"%",(F52+G52)/H52)</f>
        <v>1.9854895657361047E-3</v>
      </c>
    </row>
    <row r="53" spans="1:11" ht="15" x14ac:dyDescent="0.2">
      <c r="A53" s="34" t="s">
        <v>107</v>
      </c>
      <c r="B53" s="40">
        <f>+'2-Revenue'!G9</f>
        <v>0</v>
      </c>
      <c r="C53" s="33">
        <f>0</f>
        <v>0</v>
      </c>
      <c r="D53" s="82" t="str">
        <f t="shared" si="11"/>
        <v>%</v>
      </c>
      <c r="E53" s="33">
        <f>0</f>
        <v>0</v>
      </c>
      <c r="F53" s="33">
        <f>0</f>
        <v>0</v>
      </c>
      <c r="G53" s="33">
        <f>0</f>
        <v>0</v>
      </c>
      <c r="H53" s="91">
        <f t="shared" si="12"/>
        <v>0</v>
      </c>
      <c r="I53" s="146" t="str">
        <f t="shared" si="13"/>
        <v>%</v>
      </c>
    </row>
    <row r="54" spans="1:11" ht="15" x14ac:dyDescent="0.2">
      <c r="A54" s="34" t="s">
        <v>108</v>
      </c>
      <c r="B54" s="40">
        <f>+'2-Revenue'!G10</f>
        <v>0</v>
      </c>
      <c r="C54" s="33">
        <f>0</f>
        <v>0</v>
      </c>
      <c r="D54" s="82" t="str">
        <f t="shared" si="11"/>
        <v>%</v>
      </c>
      <c r="E54" s="33">
        <f>0</f>
        <v>0</v>
      </c>
      <c r="F54" s="33">
        <f>0</f>
        <v>0</v>
      </c>
      <c r="G54" s="33">
        <f>0</f>
        <v>0</v>
      </c>
      <c r="H54" s="91">
        <f t="shared" si="12"/>
        <v>0</v>
      </c>
      <c r="I54" s="146" t="str">
        <f t="shared" si="13"/>
        <v>%</v>
      </c>
    </row>
    <row r="55" spans="1:11" ht="15" x14ac:dyDescent="0.2">
      <c r="A55" s="34" t="s">
        <v>148</v>
      </c>
      <c r="B55" s="38">
        <f>+SUM('2-Revenue'!G11+'2-Revenue'!G13+'2-Revenue'!G15+'2-Revenue'!G17+'2-Revenue'!G19)</f>
        <v>0</v>
      </c>
      <c r="C55" s="33">
        <f>0</f>
        <v>0</v>
      </c>
      <c r="D55" s="82" t="str">
        <f t="shared" si="11"/>
        <v>%</v>
      </c>
      <c r="E55" s="33">
        <f>0</f>
        <v>0</v>
      </c>
      <c r="F55" s="33">
        <f>0</f>
        <v>0</v>
      </c>
      <c r="G55" s="33">
        <f>0</f>
        <v>0</v>
      </c>
      <c r="H55" s="91">
        <f t="shared" si="12"/>
        <v>0</v>
      </c>
      <c r="I55" s="146" t="str">
        <f t="shared" si="13"/>
        <v>%</v>
      </c>
    </row>
    <row r="56" spans="1:11" ht="15.75" thickBot="1" x14ac:dyDescent="0.25">
      <c r="A56" s="35" t="s">
        <v>149</v>
      </c>
      <c r="B56" s="38">
        <f>+SUM('2-Revenue'!G12+'2-Revenue'!G14+'2-Revenue'!G16+'2-Revenue'!G18+'2-Revenue'!G20)</f>
        <v>0</v>
      </c>
      <c r="C56" s="33">
        <f>0</f>
        <v>0</v>
      </c>
      <c r="D56" s="82" t="str">
        <f t="shared" si="11"/>
        <v>%</v>
      </c>
      <c r="E56" s="33">
        <f>0</f>
        <v>0</v>
      </c>
      <c r="F56" s="33">
        <f>0</f>
        <v>0</v>
      </c>
      <c r="G56" s="33">
        <f>0</f>
        <v>0</v>
      </c>
      <c r="H56" s="92">
        <f t="shared" si="12"/>
        <v>0</v>
      </c>
      <c r="I56" s="146" t="str">
        <f t="shared" si="13"/>
        <v>%</v>
      </c>
    </row>
    <row r="57" spans="1:11" ht="15.75" thickBot="1" x14ac:dyDescent="0.25">
      <c r="A57" s="36" t="s">
        <v>150</v>
      </c>
      <c r="B57" s="41">
        <f>SUM(B51:B56)</f>
        <v>35149975</v>
      </c>
      <c r="C57" s="41">
        <f t="shared" ref="C57:H57" si="14">SUM(C51:C56)</f>
        <v>2500000</v>
      </c>
      <c r="D57" s="86">
        <f t="shared" si="11"/>
        <v>7.1123805920203356E-2</v>
      </c>
      <c r="E57" s="41">
        <f t="shared" si="14"/>
        <v>2500000</v>
      </c>
      <c r="F57" s="39">
        <f t="shared" si="14"/>
        <v>0</v>
      </c>
      <c r="G57" s="39">
        <f t="shared" si="14"/>
        <v>690000</v>
      </c>
      <c r="H57" s="89">
        <f t="shared" si="14"/>
        <v>35839975</v>
      </c>
      <c r="I57" s="147">
        <f t="shared" si="13"/>
        <v>1.9252245572157906E-2</v>
      </c>
      <c r="J57" s="87"/>
    </row>
    <row r="58" spans="1:11" ht="15" x14ac:dyDescent="0.2">
      <c r="A58" s="160"/>
      <c r="B58" s="161"/>
      <c r="C58" s="161"/>
      <c r="D58" s="162"/>
      <c r="E58" s="161"/>
      <c r="F58" s="163"/>
      <c r="G58" s="163"/>
      <c r="H58" s="163"/>
      <c r="I58" s="164"/>
      <c r="J58" s="87"/>
    </row>
    <row r="59" spans="1:11" ht="15.75" x14ac:dyDescent="0.2">
      <c r="A59" s="435" t="s">
        <v>154</v>
      </c>
      <c r="B59" s="435"/>
      <c r="C59" s="435"/>
      <c r="D59" s="435"/>
      <c r="E59" s="435"/>
      <c r="F59" s="435"/>
      <c r="G59" s="435"/>
      <c r="H59" s="435"/>
      <c r="I59" s="145"/>
      <c r="J59" s="10"/>
      <c r="K59" s="10"/>
    </row>
    <row r="60" spans="1:11" ht="12.75" customHeight="1" x14ac:dyDescent="0.2">
      <c r="A60" s="436" t="s">
        <v>137</v>
      </c>
      <c r="B60" s="438" t="s">
        <v>138</v>
      </c>
      <c r="C60" s="438" t="s">
        <v>139</v>
      </c>
      <c r="D60" s="429" t="s">
        <v>140</v>
      </c>
      <c r="E60" s="438" t="s">
        <v>141</v>
      </c>
      <c r="F60" s="438" t="s">
        <v>142</v>
      </c>
      <c r="G60" s="438" t="s">
        <v>143</v>
      </c>
      <c r="H60" s="439" t="s">
        <v>144</v>
      </c>
      <c r="I60" s="422" t="s">
        <v>145</v>
      </c>
    </row>
    <row r="61" spans="1:11" ht="13.5" customHeight="1" thickBot="1" x14ac:dyDescent="0.25">
      <c r="A61" s="436"/>
      <c r="B61" s="439"/>
      <c r="C61" s="439"/>
      <c r="D61" s="429"/>
      <c r="E61" s="439"/>
      <c r="F61" s="439"/>
      <c r="G61" s="439"/>
      <c r="H61" s="439"/>
      <c r="I61" s="423"/>
      <c r="J61" s="10"/>
    </row>
    <row r="62" spans="1:11" ht="12.75" customHeight="1" x14ac:dyDescent="0.2">
      <c r="A62" s="436"/>
      <c r="B62" s="428"/>
      <c r="C62" s="428"/>
      <c r="D62" s="429"/>
      <c r="E62" s="428"/>
      <c r="F62" s="428"/>
      <c r="G62" s="428"/>
      <c r="H62" s="428"/>
      <c r="I62" s="423"/>
      <c r="J62" s="431" t="s">
        <v>146</v>
      </c>
      <c r="K62" s="432"/>
    </row>
    <row r="63" spans="1:11" ht="19.5" customHeight="1" thickBot="1" x14ac:dyDescent="0.25">
      <c r="A63" s="437"/>
      <c r="B63" s="440"/>
      <c r="C63" s="440"/>
      <c r="D63" s="430"/>
      <c r="E63" s="440"/>
      <c r="F63" s="440"/>
      <c r="G63" s="440"/>
      <c r="H63" s="440"/>
      <c r="I63" s="424"/>
      <c r="J63" s="433" t="s">
        <v>147</v>
      </c>
      <c r="K63" s="434"/>
    </row>
    <row r="64" spans="1:11" ht="15" x14ac:dyDescent="0.2">
      <c r="A64" s="32" t="s">
        <v>105</v>
      </c>
      <c r="B64" s="37">
        <f>+'2-Revenue'!I7</f>
        <v>10764372</v>
      </c>
      <c r="C64" s="33">
        <f>0</f>
        <v>0</v>
      </c>
      <c r="D64" s="82" t="str">
        <f t="shared" ref="D64:D70" si="15">IF(C64=0,"%",C64/B64)</f>
        <v>%</v>
      </c>
      <c r="E64" s="33">
        <v>675000</v>
      </c>
      <c r="F64" s="33">
        <f>0</f>
        <v>0</v>
      </c>
      <c r="G64" s="33">
        <f>0</f>
        <v>0</v>
      </c>
      <c r="H64" s="90">
        <f t="shared" ref="H64:H69" si="16">B64+F64+G64</f>
        <v>10764372</v>
      </c>
      <c r="I64" s="146">
        <f>IF(H64=0,"%",(F64+G64)/H64)</f>
        <v>0</v>
      </c>
      <c r="J64" s="83">
        <f>(C64+C66+C68)-(E64+E66+E68)</f>
        <v>-675000</v>
      </c>
      <c r="K64" s="84" t="str">
        <f>IF(J64&gt;0,"WARNING: IS subsidizing OS","Compliant")</f>
        <v>Compliant</v>
      </c>
    </row>
    <row r="65" spans="1:11" ht="15" x14ac:dyDescent="0.2">
      <c r="A65" s="34" t="s">
        <v>106</v>
      </c>
      <c r="B65" s="37">
        <f>+'2-Revenue'!I8</f>
        <v>26867608</v>
      </c>
      <c r="C65" s="33">
        <v>2700000</v>
      </c>
      <c r="D65" s="82">
        <f t="shared" si="15"/>
        <v>0.10049275692871505</v>
      </c>
      <c r="E65" s="33">
        <v>2025000</v>
      </c>
      <c r="F65" s="33">
        <f>0</f>
        <v>0</v>
      </c>
      <c r="G65" s="33">
        <v>50000</v>
      </c>
      <c r="H65" s="91">
        <f t="shared" si="16"/>
        <v>26917608</v>
      </c>
      <c r="I65" s="146">
        <f t="shared" ref="I65:I70" si="17">IF(H65=0,"%",(F65+G65)/H65)</f>
        <v>1.8575201778701881E-3</v>
      </c>
    </row>
    <row r="66" spans="1:11" ht="15" x14ac:dyDescent="0.2">
      <c r="A66" s="34" t="s">
        <v>107</v>
      </c>
      <c r="B66" s="37">
        <f>+'2-Revenue'!I9</f>
        <v>0</v>
      </c>
      <c r="C66" s="33">
        <f>0</f>
        <v>0</v>
      </c>
      <c r="D66" s="82" t="str">
        <f t="shared" si="15"/>
        <v>%</v>
      </c>
      <c r="E66" s="33">
        <f>0</f>
        <v>0</v>
      </c>
      <c r="F66" s="33">
        <f>0</f>
        <v>0</v>
      </c>
      <c r="G66" s="33">
        <f>0</f>
        <v>0</v>
      </c>
      <c r="H66" s="91">
        <f t="shared" si="16"/>
        <v>0</v>
      </c>
      <c r="I66" s="146" t="str">
        <f t="shared" si="17"/>
        <v>%</v>
      </c>
    </row>
    <row r="67" spans="1:11" ht="15" x14ac:dyDescent="0.2">
      <c r="A67" s="34" t="s">
        <v>108</v>
      </c>
      <c r="B67" s="37">
        <f>+'2-Revenue'!I10</f>
        <v>0</v>
      </c>
      <c r="C67" s="33">
        <f>0</f>
        <v>0</v>
      </c>
      <c r="D67" s="82" t="str">
        <f t="shared" si="15"/>
        <v>%</v>
      </c>
      <c r="E67" s="33">
        <f>0</f>
        <v>0</v>
      </c>
      <c r="F67" s="33">
        <f>0</f>
        <v>0</v>
      </c>
      <c r="G67" s="33">
        <f>0</f>
        <v>0</v>
      </c>
      <c r="H67" s="91">
        <f t="shared" si="16"/>
        <v>0</v>
      </c>
      <c r="I67" s="146" t="str">
        <f t="shared" si="17"/>
        <v>%</v>
      </c>
    </row>
    <row r="68" spans="1:11" ht="15" x14ac:dyDescent="0.2">
      <c r="A68" s="34" t="s">
        <v>148</v>
      </c>
      <c r="B68" s="38">
        <f>+SUM('2-Revenue'!I11+'2-Revenue'!I13+'2-Revenue'!I15+'2-Revenue'!I17+'2-Revenue'!I19)</f>
        <v>0</v>
      </c>
      <c r="C68" s="33">
        <f>0</f>
        <v>0</v>
      </c>
      <c r="D68" s="82" t="str">
        <f t="shared" si="15"/>
        <v>%</v>
      </c>
      <c r="E68" s="33">
        <f>0</f>
        <v>0</v>
      </c>
      <c r="F68" s="33">
        <f>0</f>
        <v>0</v>
      </c>
      <c r="G68" s="33">
        <f>0</f>
        <v>0</v>
      </c>
      <c r="H68" s="91">
        <f t="shared" si="16"/>
        <v>0</v>
      </c>
      <c r="I68" s="146" t="str">
        <f t="shared" si="17"/>
        <v>%</v>
      </c>
    </row>
    <row r="69" spans="1:11" ht="15.75" thickBot="1" x14ac:dyDescent="0.25">
      <c r="A69" s="35" t="s">
        <v>149</v>
      </c>
      <c r="B69" s="38">
        <f>+SUM('2-Revenue'!I12+'2-Revenue'!I14+'2-Revenue'!I16+'2-Revenue'!I18+'2-Revenue'!I20)</f>
        <v>0</v>
      </c>
      <c r="C69" s="33">
        <f>0</f>
        <v>0</v>
      </c>
      <c r="D69" s="82" t="str">
        <f t="shared" si="15"/>
        <v>%</v>
      </c>
      <c r="E69" s="33">
        <f>0</f>
        <v>0</v>
      </c>
      <c r="F69" s="33">
        <f>0</f>
        <v>0</v>
      </c>
      <c r="G69" s="33">
        <f>0</f>
        <v>0</v>
      </c>
      <c r="H69" s="92">
        <f t="shared" si="16"/>
        <v>0</v>
      </c>
      <c r="I69" s="146" t="str">
        <f t="shared" si="17"/>
        <v>%</v>
      </c>
    </row>
    <row r="70" spans="1:11" ht="15.75" thickBot="1" x14ac:dyDescent="0.25">
      <c r="A70" s="36" t="s">
        <v>150</v>
      </c>
      <c r="B70" s="41">
        <f>SUM(B64:B69)</f>
        <v>37631980</v>
      </c>
      <c r="C70" s="41">
        <f>SUM(C64:C69)</f>
        <v>2700000</v>
      </c>
      <c r="D70" s="86">
        <f t="shared" si="15"/>
        <v>7.1747487110696812E-2</v>
      </c>
      <c r="E70" s="41">
        <f>SUM(E64:E69)</f>
        <v>2700000</v>
      </c>
      <c r="F70" s="39">
        <f>SUM(F64:F69)</f>
        <v>0</v>
      </c>
      <c r="G70" s="39">
        <f>SUM(G64:G69)</f>
        <v>50000</v>
      </c>
      <c r="H70" s="89">
        <f>SUM(H64:H69)</f>
        <v>37681980</v>
      </c>
      <c r="I70" s="147">
        <f t="shared" si="17"/>
        <v>1.3268941812505607E-3</v>
      </c>
      <c r="J70" s="87"/>
    </row>
    <row r="71" spans="1:11" ht="15" x14ac:dyDescent="0.2">
      <c r="A71" s="160"/>
      <c r="B71" s="161"/>
      <c r="C71" s="161"/>
      <c r="D71" s="162"/>
      <c r="E71" s="161"/>
      <c r="F71" s="163"/>
      <c r="G71" s="163"/>
      <c r="H71" s="163"/>
      <c r="I71" s="164"/>
      <c r="J71" s="87"/>
    </row>
    <row r="72" spans="1:11" ht="12.75" customHeight="1" x14ac:dyDescent="0.2">
      <c r="A72" s="435" t="s">
        <v>155</v>
      </c>
      <c r="B72" s="435"/>
      <c r="C72" s="435"/>
      <c r="D72" s="435"/>
      <c r="E72" s="435"/>
      <c r="F72" s="435"/>
      <c r="G72" s="435"/>
      <c r="H72" s="435"/>
      <c r="I72" s="145"/>
      <c r="J72" s="10"/>
      <c r="K72" s="10"/>
    </row>
    <row r="73" spans="1:11" ht="13.5" customHeight="1" x14ac:dyDescent="0.2">
      <c r="A73" s="436" t="s">
        <v>137</v>
      </c>
      <c r="B73" s="438" t="s">
        <v>138</v>
      </c>
      <c r="C73" s="438" t="s">
        <v>139</v>
      </c>
      <c r="D73" s="429" t="s">
        <v>140</v>
      </c>
      <c r="E73" s="438" t="s">
        <v>141</v>
      </c>
      <c r="F73" s="438" t="s">
        <v>142</v>
      </c>
      <c r="G73" s="438" t="s">
        <v>143</v>
      </c>
      <c r="H73" s="439" t="s">
        <v>144</v>
      </c>
      <c r="I73" s="422" t="s">
        <v>145</v>
      </c>
    </row>
    <row r="74" spans="1:11" ht="13.5" customHeight="1" thickBot="1" x14ac:dyDescent="0.25">
      <c r="A74" s="436"/>
      <c r="B74" s="439"/>
      <c r="C74" s="439"/>
      <c r="D74" s="429"/>
      <c r="E74" s="439"/>
      <c r="F74" s="439"/>
      <c r="G74" s="439"/>
      <c r="H74" s="439"/>
      <c r="I74" s="423"/>
      <c r="J74" s="10"/>
    </row>
    <row r="75" spans="1:11" ht="12.75" customHeight="1" x14ac:dyDescent="0.2">
      <c r="A75" s="436"/>
      <c r="B75" s="428"/>
      <c r="C75" s="428"/>
      <c r="D75" s="429"/>
      <c r="E75" s="428"/>
      <c r="F75" s="428"/>
      <c r="G75" s="428"/>
      <c r="H75" s="428"/>
      <c r="I75" s="423"/>
      <c r="J75" s="431" t="s">
        <v>146</v>
      </c>
      <c r="K75" s="432"/>
    </row>
    <row r="76" spans="1:11" ht="22.5" customHeight="1" thickBot="1" x14ac:dyDescent="0.25">
      <c r="A76" s="437"/>
      <c r="B76" s="440"/>
      <c r="C76" s="440"/>
      <c r="D76" s="430"/>
      <c r="E76" s="440"/>
      <c r="F76" s="440"/>
      <c r="G76" s="440"/>
      <c r="H76" s="440"/>
      <c r="I76" s="424"/>
      <c r="J76" s="433" t="s">
        <v>147</v>
      </c>
      <c r="K76" s="434"/>
    </row>
    <row r="77" spans="1:11" ht="15" x14ac:dyDescent="0.2">
      <c r="A77" s="32" t="s">
        <v>105</v>
      </c>
      <c r="B77" s="37">
        <f>+'2-Revenue'!K7</f>
        <v>11111769</v>
      </c>
      <c r="C77" s="33">
        <f>0</f>
        <v>0</v>
      </c>
      <c r="D77" s="82" t="str">
        <f t="shared" ref="D77:D83" si="18">IF(C77=0,"%",C77/B77)</f>
        <v>%</v>
      </c>
      <c r="E77" s="33">
        <v>725000</v>
      </c>
      <c r="F77" s="33">
        <f>0</f>
        <v>0</v>
      </c>
      <c r="G77" s="33">
        <f>0</f>
        <v>0</v>
      </c>
      <c r="H77" s="90">
        <f t="shared" ref="H77:H82" si="19">B77+F77+G77</f>
        <v>11111769</v>
      </c>
      <c r="I77" s="146">
        <f>IF(H77=0,"%",(F77+G77)/H77)</f>
        <v>0</v>
      </c>
      <c r="J77" s="83">
        <f>(C77+C79+C81)-(E77+E79+E81)</f>
        <v>-725000</v>
      </c>
      <c r="K77" s="84" t="str">
        <f>IF(J77&gt;0,"WARNING: IS subsidizing OS","Compliant")</f>
        <v>Compliant</v>
      </c>
    </row>
    <row r="78" spans="1:11" ht="15" x14ac:dyDescent="0.2">
      <c r="A78" s="34" t="s">
        <v>106</v>
      </c>
      <c r="B78" s="37">
        <f>+'2-Revenue'!K8</f>
        <v>27670148</v>
      </c>
      <c r="C78" s="33">
        <v>2900000</v>
      </c>
      <c r="D78" s="82">
        <f t="shared" si="18"/>
        <v>0.10480608921932763</v>
      </c>
      <c r="E78" s="33">
        <v>2175000</v>
      </c>
      <c r="F78" s="33">
        <f>0</f>
        <v>0</v>
      </c>
      <c r="G78" s="33">
        <v>50000</v>
      </c>
      <c r="H78" s="91">
        <f t="shared" si="19"/>
        <v>27720148</v>
      </c>
      <c r="I78" s="146">
        <f t="shared" ref="I78:I83" si="20">IF(H78=0,"%",(F78+G78)/H78)</f>
        <v>1.8037421733823355E-3</v>
      </c>
    </row>
    <row r="79" spans="1:11" ht="15" x14ac:dyDescent="0.2">
      <c r="A79" s="34" t="s">
        <v>107</v>
      </c>
      <c r="B79" s="37">
        <f>+'2-Revenue'!K9</f>
        <v>0</v>
      </c>
      <c r="C79" s="33">
        <f>0</f>
        <v>0</v>
      </c>
      <c r="D79" s="82" t="str">
        <f t="shared" si="18"/>
        <v>%</v>
      </c>
      <c r="E79" s="33">
        <f>0</f>
        <v>0</v>
      </c>
      <c r="F79" s="33">
        <f>0</f>
        <v>0</v>
      </c>
      <c r="G79" s="33">
        <f>0</f>
        <v>0</v>
      </c>
      <c r="H79" s="91">
        <f t="shared" si="19"/>
        <v>0</v>
      </c>
      <c r="I79" s="146" t="str">
        <f t="shared" si="20"/>
        <v>%</v>
      </c>
    </row>
    <row r="80" spans="1:11" ht="15" x14ac:dyDescent="0.2">
      <c r="A80" s="34" t="s">
        <v>108</v>
      </c>
      <c r="B80" s="37">
        <f>+'2-Revenue'!K10</f>
        <v>0</v>
      </c>
      <c r="C80" s="33">
        <f>0</f>
        <v>0</v>
      </c>
      <c r="D80" s="82" t="str">
        <f t="shared" si="18"/>
        <v>%</v>
      </c>
      <c r="E80" s="33">
        <f>0</f>
        <v>0</v>
      </c>
      <c r="F80" s="33">
        <f>0</f>
        <v>0</v>
      </c>
      <c r="G80" s="33">
        <f>0</f>
        <v>0</v>
      </c>
      <c r="H80" s="91">
        <f t="shared" si="19"/>
        <v>0</v>
      </c>
      <c r="I80" s="146" t="str">
        <f t="shared" si="20"/>
        <v>%</v>
      </c>
    </row>
    <row r="81" spans="1:10" ht="15" x14ac:dyDescent="0.2">
      <c r="A81" s="34" t="s">
        <v>148</v>
      </c>
      <c r="B81" s="38">
        <f>+SUM('2-Revenue'!K11+'2-Revenue'!K13+'2-Revenue'!K15+'2-Revenue'!K17+'2-Revenue'!K19)</f>
        <v>0</v>
      </c>
      <c r="C81" s="33">
        <f>0</f>
        <v>0</v>
      </c>
      <c r="D81" s="82" t="str">
        <f t="shared" si="18"/>
        <v>%</v>
      </c>
      <c r="E81" s="33">
        <f>0</f>
        <v>0</v>
      </c>
      <c r="F81" s="33">
        <f>0</f>
        <v>0</v>
      </c>
      <c r="G81" s="33">
        <f>0</f>
        <v>0</v>
      </c>
      <c r="H81" s="91">
        <f t="shared" si="19"/>
        <v>0</v>
      </c>
      <c r="I81" s="146" t="str">
        <f t="shared" si="20"/>
        <v>%</v>
      </c>
    </row>
    <row r="82" spans="1:10" ht="15.75" thickBot="1" x14ac:dyDescent="0.25">
      <c r="A82" s="35" t="s">
        <v>149</v>
      </c>
      <c r="B82" s="38">
        <f>+SUM('2-Revenue'!K12+'2-Revenue'!K14+'2-Revenue'!K16+'2-Revenue'!K18+'2-Revenue'!K20)</f>
        <v>0</v>
      </c>
      <c r="C82" s="33">
        <f>0</f>
        <v>0</v>
      </c>
      <c r="D82" s="82" t="str">
        <f t="shared" si="18"/>
        <v>%</v>
      </c>
      <c r="E82" s="33">
        <f>0</f>
        <v>0</v>
      </c>
      <c r="F82" s="33">
        <f>0</f>
        <v>0</v>
      </c>
      <c r="G82" s="33">
        <f>0</f>
        <v>0</v>
      </c>
      <c r="H82" s="92">
        <f t="shared" si="19"/>
        <v>0</v>
      </c>
      <c r="I82" s="146" t="str">
        <f t="shared" si="20"/>
        <v>%</v>
      </c>
    </row>
    <row r="83" spans="1:10" ht="15.75" thickBot="1" x14ac:dyDescent="0.25">
      <c r="A83" s="36" t="s">
        <v>150</v>
      </c>
      <c r="B83" s="41">
        <f>SUM(B77:B82)</f>
        <v>38781917</v>
      </c>
      <c r="C83" s="41">
        <f>SUM(C77:C82)</f>
        <v>2900000</v>
      </c>
      <c r="D83" s="86">
        <f t="shared" si="18"/>
        <v>7.4777118418359767E-2</v>
      </c>
      <c r="E83" s="41">
        <f>SUM(E77:E82)</f>
        <v>2900000</v>
      </c>
      <c r="F83" s="39">
        <f>SUM(F77:F82)</f>
        <v>0</v>
      </c>
      <c r="G83" s="39">
        <f>SUM(G77:G82)</f>
        <v>50000</v>
      </c>
      <c r="H83" s="89">
        <f>SUM(H77:H82)</f>
        <v>38831917</v>
      </c>
      <c r="I83" s="147">
        <f t="shared" si="20"/>
        <v>1.2876006095707301E-3</v>
      </c>
      <c r="J83" s="87"/>
    </row>
    <row r="84" spans="1:10" ht="15" x14ac:dyDescent="0.2">
      <c r="A84" s="160"/>
      <c r="B84" s="161"/>
      <c r="C84" s="161"/>
      <c r="D84" s="162"/>
      <c r="E84" s="161"/>
      <c r="F84" s="163"/>
      <c r="G84" s="163"/>
      <c r="H84" s="163"/>
      <c r="I84" s="164"/>
      <c r="J84" s="87"/>
    </row>
    <row r="85" spans="1:10" ht="15.75" x14ac:dyDescent="0.2">
      <c r="A85" s="435" t="s">
        <v>156</v>
      </c>
      <c r="B85" s="435"/>
      <c r="C85" s="435"/>
      <c r="D85" s="435"/>
      <c r="E85" s="435"/>
      <c r="F85" s="435"/>
      <c r="G85" s="435"/>
      <c r="H85" s="435"/>
      <c r="I85" s="145"/>
      <c r="J85" s="87"/>
    </row>
    <row r="86" spans="1:10" ht="12.75" customHeight="1" x14ac:dyDescent="0.2">
      <c r="A86" s="436" t="s">
        <v>137</v>
      </c>
      <c r="B86" s="438" t="s">
        <v>138</v>
      </c>
      <c r="C86" s="438" t="s">
        <v>139</v>
      </c>
      <c r="D86" s="429" t="s">
        <v>140</v>
      </c>
      <c r="E86" s="438" t="s">
        <v>141</v>
      </c>
      <c r="F86" s="438" t="s">
        <v>142</v>
      </c>
      <c r="G86" s="438" t="s">
        <v>143</v>
      </c>
      <c r="H86" s="439" t="s">
        <v>144</v>
      </c>
      <c r="I86" s="422" t="s">
        <v>145</v>
      </c>
      <c r="J86" s="87"/>
    </row>
    <row r="87" spans="1:10" ht="12.75" customHeight="1" x14ac:dyDescent="0.2">
      <c r="A87" s="436"/>
      <c r="B87" s="439"/>
      <c r="C87" s="439"/>
      <c r="D87" s="429"/>
      <c r="E87" s="439"/>
      <c r="F87" s="439"/>
      <c r="G87" s="439"/>
      <c r="H87" s="439"/>
      <c r="I87" s="423"/>
      <c r="J87" s="87"/>
    </row>
    <row r="88" spans="1:10" ht="12.75" customHeight="1" x14ac:dyDescent="0.2">
      <c r="A88" s="436"/>
      <c r="B88" s="428"/>
      <c r="C88" s="428"/>
      <c r="D88" s="429"/>
      <c r="E88" s="428"/>
      <c r="F88" s="428"/>
      <c r="G88" s="428"/>
      <c r="H88" s="428"/>
      <c r="I88" s="423"/>
      <c r="J88" s="87"/>
    </row>
    <row r="89" spans="1:10" ht="21.75" customHeight="1" thickBot="1" x14ac:dyDescent="0.25">
      <c r="A89" s="437"/>
      <c r="B89" s="440"/>
      <c r="C89" s="440"/>
      <c r="D89" s="430"/>
      <c r="E89" s="440"/>
      <c r="F89" s="440"/>
      <c r="G89" s="440"/>
      <c r="H89" s="440"/>
      <c r="I89" s="424"/>
      <c r="J89" s="87"/>
    </row>
    <row r="90" spans="1:10" ht="15" x14ac:dyDescent="0.2">
      <c r="A90" s="32" t="s">
        <v>105</v>
      </c>
      <c r="B90" s="37">
        <f>+'2-Revenue'!M7</f>
        <v>11313194</v>
      </c>
      <c r="C90" s="33">
        <f>0</f>
        <v>0</v>
      </c>
      <c r="D90" s="82" t="str">
        <f t="shared" ref="D90:D96" si="21">IF(C90=0,"%",C90/B90)</f>
        <v>%</v>
      </c>
      <c r="E90" s="33">
        <v>775000</v>
      </c>
      <c r="F90" s="33">
        <f>0</f>
        <v>0</v>
      </c>
      <c r="G90" s="33">
        <f>0</f>
        <v>0</v>
      </c>
      <c r="H90" s="90">
        <f t="shared" ref="H90:H95" si="22">B90+F90+G90</f>
        <v>11313194</v>
      </c>
      <c r="I90" s="146">
        <f>IF(H90=0,"%",(F90+G90)/H90)</f>
        <v>0</v>
      </c>
      <c r="J90" s="87"/>
    </row>
    <row r="91" spans="1:10" ht="15" x14ac:dyDescent="0.2">
      <c r="A91" s="34" t="s">
        <v>106</v>
      </c>
      <c r="B91" s="37">
        <f>+'2-Revenue'!M8</f>
        <v>28285418</v>
      </c>
      <c r="C91" s="33">
        <v>3100000</v>
      </c>
      <c r="D91" s="82">
        <f t="shared" si="21"/>
        <v>0.10959710759798565</v>
      </c>
      <c r="E91" s="33">
        <v>2325000</v>
      </c>
      <c r="F91" s="33">
        <f>0</f>
        <v>0</v>
      </c>
      <c r="G91" s="33">
        <v>50000</v>
      </c>
      <c r="H91" s="91">
        <f t="shared" si="22"/>
        <v>28335418</v>
      </c>
      <c r="I91" s="146">
        <f t="shared" ref="I91:I96" si="23">IF(H91=0,"%",(F91+G91)/H91)</f>
        <v>1.7645760510750185E-3</v>
      </c>
      <c r="J91" s="87"/>
    </row>
    <row r="92" spans="1:10" ht="15" x14ac:dyDescent="0.2">
      <c r="A92" s="34" t="s">
        <v>107</v>
      </c>
      <c r="B92" s="37">
        <f>+'2-Revenue'!M9</f>
        <v>0</v>
      </c>
      <c r="C92" s="33">
        <f>0</f>
        <v>0</v>
      </c>
      <c r="D92" s="82" t="str">
        <f t="shared" si="21"/>
        <v>%</v>
      </c>
      <c r="E92" s="33">
        <f>0</f>
        <v>0</v>
      </c>
      <c r="F92" s="33">
        <f>0</f>
        <v>0</v>
      </c>
      <c r="G92" s="33">
        <f>0</f>
        <v>0</v>
      </c>
      <c r="H92" s="91">
        <f t="shared" si="22"/>
        <v>0</v>
      </c>
      <c r="I92" s="146" t="str">
        <f t="shared" si="23"/>
        <v>%</v>
      </c>
      <c r="J92" s="87"/>
    </row>
    <row r="93" spans="1:10" ht="15" x14ac:dyDescent="0.2">
      <c r="A93" s="34" t="s">
        <v>108</v>
      </c>
      <c r="B93" s="37">
        <f>+'2-Revenue'!M10</f>
        <v>0</v>
      </c>
      <c r="C93" s="33">
        <f>0</f>
        <v>0</v>
      </c>
      <c r="D93" s="82" t="str">
        <f t="shared" si="21"/>
        <v>%</v>
      </c>
      <c r="E93" s="33">
        <f>0</f>
        <v>0</v>
      </c>
      <c r="F93" s="33">
        <f>0</f>
        <v>0</v>
      </c>
      <c r="G93" s="33">
        <f>0</f>
        <v>0</v>
      </c>
      <c r="H93" s="91">
        <f t="shared" si="22"/>
        <v>0</v>
      </c>
      <c r="I93" s="146" t="str">
        <f t="shared" si="23"/>
        <v>%</v>
      </c>
      <c r="J93" s="87"/>
    </row>
    <row r="94" spans="1:10" ht="15" x14ac:dyDescent="0.2">
      <c r="A94" s="34" t="s">
        <v>148</v>
      </c>
      <c r="B94" s="38">
        <f>+SUM('2-Revenue'!M11+'2-Revenue'!M13+'2-Revenue'!M15+'2-Revenue'!M17+'2-Revenue'!M19)</f>
        <v>0</v>
      </c>
      <c r="C94" s="33">
        <f>0</f>
        <v>0</v>
      </c>
      <c r="D94" s="82" t="str">
        <f t="shared" si="21"/>
        <v>%</v>
      </c>
      <c r="E94" s="33">
        <f>0</f>
        <v>0</v>
      </c>
      <c r="F94" s="33">
        <f>0</f>
        <v>0</v>
      </c>
      <c r="G94" s="33">
        <f>0</f>
        <v>0</v>
      </c>
      <c r="H94" s="91">
        <f t="shared" si="22"/>
        <v>0</v>
      </c>
      <c r="I94" s="146" t="str">
        <f t="shared" si="23"/>
        <v>%</v>
      </c>
      <c r="J94" s="87"/>
    </row>
    <row r="95" spans="1:10" ht="15.75" thickBot="1" x14ac:dyDescent="0.25">
      <c r="A95" s="35" t="s">
        <v>149</v>
      </c>
      <c r="B95" s="38">
        <f>+SUM('2-Revenue'!M12+'2-Revenue'!M14+'2-Revenue'!M16+'2-Revenue'!M18+'2-Revenue'!M20)</f>
        <v>0</v>
      </c>
      <c r="C95" s="33">
        <f>0</f>
        <v>0</v>
      </c>
      <c r="D95" s="82" t="str">
        <f t="shared" si="21"/>
        <v>%</v>
      </c>
      <c r="E95" s="33">
        <f>0</f>
        <v>0</v>
      </c>
      <c r="F95" s="33">
        <f>0</f>
        <v>0</v>
      </c>
      <c r="G95" s="33">
        <f>0</f>
        <v>0</v>
      </c>
      <c r="H95" s="92">
        <f t="shared" si="22"/>
        <v>0</v>
      </c>
      <c r="I95" s="146" t="str">
        <f t="shared" si="23"/>
        <v>%</v>
      </c>
      <c r="J95" s="87"/>
    </row>
    <row r="96" spans="1:10" ht="15.75" thickBot="1" x14ac:dyDescent="0.25">
      <c r="A96" s="36" t="s">
        <v>150</v>
      </c>
      <c r="B96" s="41">
        <f>SUM(B90:B95)</f>
        <v>39598612</v>
      </c>
      <c r="C96" s="41">
        <f>SUM(C90:C95)</f>
        <v>3100000</v>
      </c>
      <c r="D96" s="86">
        <f t="shared" si="21"/>
        <v>7.8285572231673164E-2</v>
      </c>
      <c r="E96" s="41">
        <f>SUM(E90:E95)</f>
        <v>3100000</v>
      </c>
      <c r="F96" s="39">
        <f>SUM(F90:F95)</f>
        <v>0</v>
      </c>
      <c r="G96" s="39">
        <f>SUM(G90:G95)</f>
        <v>50000</v>
      </c>
      <c r="H96" s="89">
        <f>SUM(H90:H95)</f>
        <v>39648612</v>
      </c>
      <c r="I96" s="147">
        <f t="shared" si="23"/>
        <v>1.2610781936073828E-3</v>
      </c>
      <c r="J96" s="87"/>
    </row>
    <row r="97" spans="1:10" ht="15" x14ac:dyDescent="0.2">
      <c r="A97" s="160"/>
      <c r="B97" s="161"/>
      <c r="C97" s="161"/>
      <c r="D97" s="162"/>
      <c r="E97" s="161"/>
      <c r="F97" s="163"/>
      <c r="G97" s="163"/>
      <c r="H97" s="163"/>
      <c r="I97" s="164"/>
      <c r="J97" s="87"/>
    </row>
    <row r="98" spans="1:10" ht="15.75" x14ac:dyDescent="0.2">
      <c r="A98" s="425" t="s">
        <v>157</v>
      </c>
      <c r="B98" s="426"/>
      <c r="C98" s="426"/>
      <c r="D98" s="426"/>
      <c r="E98" s="426"/>
      <c r="F98" s="426"/>
      <c r="G98" s="426"/>
      <c r="H98" s="427"/>
      <c r="I98" s="145"/>
      <c r="J98" s="87"/>
    </row>
    <row r="99" spans="1:10" ht="12.75" customHeight="1" x14ac:dyDescent="0.2">
      <c r="A99" s="428" t="s">
        <v>137</v>
      </c>
      <c r="B99" s="428" t="s">
        <v>138</v>
      </c>
      <c r="C99" s="428" t="s">
        <v>139</v>
      </c>
      <c r="D99" s="428" t="s">
        <v>140</v>
      </c>
      <c r="E99" s="428" t="s">
        <v>141</v>
      </c>
      <c r="F99" s="428" t="s">
        <v>142</v>
      </c>
      <c r="G99" s="428" t="s">
        <v>143</v>
      </c>
      <c r="H99" s="428" t="s">
        <v>144</v>
      </c>
      <c r="I99" s="422" t="s">
        <v>145</v>
      </c>
      <c r="J99" s="87"/>
    </row>
    <row r="100" spans="1:10" ht="12.75" customHeight="1" x14ac:dyDescent="0.2">
      <c r="A100" s="429"/>
      <c r="B100" s="429"/>
      <c r="C100" s="429"/>
      <c r="D100" s="429"/>
      <c r="E100" s="429"/>
      <c r="F100" s="429"/>
      <c r="G100" s="429"/>
      <c r="H100" s="429"/>
      <c r="I100" s="423"/>
      <c r="J100" s="87"/>
    </row>
    <row r="101" spans="1:10" ht="12.75" customHeight="1" x14ac:dyDescent="0.2">
      <c r="A101" s="429"/>
      <c r="B101" s="429"/>
      <c r="C101" s="429"/>
      <c r="D101" s="429"/>
      <c r="E101" s="429"/>
      <c r="F101" s="429"/>
      <c r="G101" s="429"/>
      <c r="H101" s="429"/>
      <c r="I101" s="423"/>
      <c r="J101" s="87"/>
    </row>
    <row r="102" spans="1:10" ht="22.5" customHeight="1" thickBot="1" x14ac:dyDescent="0.25">
      <c r="A102" s="430"/>
      <c r="B102" s="430"/>
      <c r="C102" s="430"/>
      <c r="D102" s="430"/>
      <c r="E102" s="430"/>
      <c r="F102" s="430"/>
      <c r="G102" s="430"/>
      <c r="H102" s="430"/>
      <c r="I102" s="424"/>
      <c r="J102" s="87"/>
    </row>
    <row r="103" spans="1:10" ht="15" x14ac:dyDescent="0.2">
      <c r="A103" s="32" t="s">
        <v>105</v>
      </c>
      <c r="B103" s="37">
        <f>+'2-Revenue'!O7</f>
        <v>11322634</v>
      </c>
      <c r="C103" s="33">
        <f>0</f>
        <v>0</v>
      </c>
      <c r="D103" s="82" t="str">
        <f t="shared" ref="D103:D109" si="24">IF(C103=0,"%",C103/B103)</f>
        <v>%</v>
      </c>
      <c r="E103" s="33">
        <v>825000</v>
      </c>
      <c r="F103" s="33">
        <f>0</f>
        <v>0</v>
      </c>
      <c r="G103" s="33">
        <f>0</f>
        <v>0</v>
      </c>
      <c r="H103" s="90">
        <f t="shared" ref="H103:H108" si="25">B103+F103+G103</f>
        <v>11322634</v>
      </c>
      <c r="I103" s="146">
        <f>IF(H103=0,"%",(F103+G103)/H103)</f>
        <v>0</v>
      </c>
      <c r="J103" s="87"/>
    </row>
    <row r="104" spans="1:10" ht="15" x14ac:dyDescent="0.2">
      <c r="A104" s="34" t="s">
        <v>106</v>
      </c>
      <c r="B104" s="37">
        <f>+'2-Revenue'!O8</f>
        <v>28300395</v>
      </c>
      <c r="C104" s="33">
        <v>3300000</v>
      </c>
      <c r="D104" s="82">
        <f t="shared" si="24"/>
        <v>0.116606146309972</v>
      </c>
      <c r="E104" s="33">
        <v>2475000</v>
      </c>
      <c r="F104" s="33">
        <f>0</f>
        <v>0</v>
      </c>
      <c r="G104" s="33">
        <v>50000</v>
      </c>
      <c r="H104" s="91">
        <f t="shared" si="25"/>
        <v>28350395</v>
      </c>
      <c r="I104" s="146">
        <f t="shared" ref="I104:I109" si="26">IF(H104=0,"%",(F104+G104)/H104)</f>
        <v>1.7636438575194455E-3</v>
      </c>
      <c r="J104" s="87"/>
    </row>
    <row r="105" spans="1:10" ht="15" x14ac:dyDescent="0.2">
      <c r="A105" s="34" t="s">
        <v>107</v>
      </c>
      <c r="B105" s="37">
        <f>+'2-Revenue'!O9</f>
        <v>0</v>
      </c>
      <c r="C105" s="33">
        <f>0</f>
        <v>0</v>
      </c>
      <c r="D105" s="82" t="str">
        <f t="shared" si="24"/>
        <v>%</v>
      </c>
      <c r="E105" s="33">
        <f>0</f>
        <v>0</v>
      </c>
      <c r="F105" s="33">
        <f>0</f>
        <v>0</v>
      </c>
      <c r="G105" s="33">
        <f>0</f>
        <v>0</v>
      </c>
      <c r="H105" s="91">
        <f t="shared" si="25"/>
        <v>0</v>
      </c>
      <c r="I105" s="146" t="str">
        <f t="shared" si="26"/>
        <v>%</v>
      </c>
      <c r="J105" s="87"/>
    </row>
    <row r="106" spans="1:10" ht="15" x14ac:dyDescent="0.2">
      <c r="A106" s="34" t="s">
        <v>108</v>
      </c>
      <c r="B106" s="37">
        <f>+'2-Revenue'!O10</f>
        <v>0</v>
      </c>
      <c r="C106" s="33">
        <f>0</f>
        <v>0</v>
      </c>
      <c r="D106" s="82" t="str">
        <f t="shared" si="24"/>
        <v>%</v>
      </c>
      <c r="E106" s="33">
        <f>0</f>
        <v>0</v>
      </c>
      <c r="F106" s="33">
        <f>0</f>
        <v>0</v>
      </c>
      <c r="G106" s="33">
        <f>0</f>
        <v>0</v>
      </c>
      <c r="H106" s="91">
        <f t="shared" si="25"/>
        <v>0</v>
      </c>
      <c r="I106" s="146" t="str">
        <f t="shared" si="26"/>
        <v>%</v>
      </c>
      <c r="J106" s="87"/>
    </row>
    <row r="107" spans="1:10" ht="15" x14ac:dyDescent="0.2">
      <c r="A107" s="34" t="s">
        <v>148</v>
      </c>
      <c r="B107" s="38">
        <f>+SUM('2-Revenue'!O11+'2-Revenue'!O13+'2-Revenue'!O15+'2-Revenue'!O17+'2-Revenue'!O19)</f>
        <v>0</v>
      </c>
      <c r="C107" s="33">
        <f>0</f>
        <v>0</v>
      </c>
      <c r="D107" s="82" t="str">
        <f t="shared" si="24"/>
        <v>%</v>
      </c>
      <c r="E107" s="33">
        <f>0</f>
        <v>0</v>
      </c>
      <c r="F107" s="33">
        <f>0</f>
        <v>0</v>
      </c>
      <c r="G107" s="33">
        <f>0</f>
        <v>0</v>
      </c>
      <c r="H107" s="91">
        <f t="shared" si="25"/>
        <v>0</v>
      </c>
      <c r="I107" s="146" t="str">
        <f t="shared" si="26"/>
        <v>%</v>
      </c>
      <c r="J107" s="87"/>
    </row>
    <row r="108" spans="1:10" ht="15.75" thickBot="1" x14ac:dyDescent="0.25">
      <c r="A108" s="35" t="s">
        <v>149</v>
      </c>
      <c r="B108" s="38">
        <f>+SUM('2-Revenue'!O12+'2-Revenue'!O14+'2-Revenue'!O16+'2-Revenue'!O18+'2-Revenue'!O20)</f>
        <v>0</v>
      </c>
      <c r="C108" s="33">
        <f>0</f>
        <v>0</v>
      </c>
      <c r="D108" s="82" t="str">
        <f t="shared" si="24"/>
        <v>%</v>
      </c>
      <c r="E108" s="33">
        <f>0</f>
        <v>0</v>
      </c>
      <c r="F108" s="33">
        <f>0</f>
        <v>0</v>
      </c>
      <c r="G108" s="33">
        <f>0</f>
        <v>0</v>
      </c>
      <c r="H108" s="92">
        <f t="shared" si="25"/>
        <v>0</v>
      </c>
      <c r="I108" s="146" t="str">
        <f t="shared" si="26"/>
        <v>%</v>
      </c>
      <c r="J108" s="87"/>
    </row>
    <row r="109" spans="1:10" ht="15.75" thickBot="1" x14ac:dyDescent="0.25">
      <c r="A109" s="36" t="s">
        <v>150</v>
      </c>
      <c r="B109" s="41">
        <f>SUM(B103:B108)</f>
        <v>39623029</v>
      </c>
      <c r="C109" s="41">
        <f>SUM(C103:C108)</f>
        <v>3300000</v>
      </c>
      <c r="D109" s="86">
        <f t="shared" si="24"/>
        <v>8.3284899799053722E-2</v>
      </c>
      <c r="E109" s="41">
        <f>SUM(E103:E108)</f>
        <v>3300000</v>
      </c>
      <c r="F109" s="39">
        <f>SUM(F103:F108)</f>
        <v>0</v>
      </c>
      <c r="G109" s="39">
        <f>SUM(G103:G108)</f>
        <v>50000</v>
      </c>
      <c r="H109" s="89">
        <f>SUM(H103:H108)</f>
        <v>39673029</v>
      </c>
      <c r="I109" s="147">
        <f t="shared" si="26"/>
        <v>1.2603020555854204E-3</v>
      </c>
      <c r="J109" s="87"/>
    </row>
    <row r="111" spans="1:10" ht="72.75" customHeight="1" x14ac:dyDescent="0.2">
      <c r="A111" s="442" t="s">
        <v>158</v>
      </c>
      <c r="B111" s="442"/>
      <c r="C111" s="442"/>
      <c r="D111" s="442"/>
      <c r="E111" s="442"/>
      <c r="F111" s="442"/>
      <c r="G111" s="442"/>
      <c r="H111" s="442"/>
      <c r="I111" s="149"/>
    </row>
  </sheetData>
  <mergeCells count="101">
    <mergeCell ref="A2:E2"/>
    <mergeCell ref="J10:K10"/>
    <mergeCell ref="J11:K11"/>
    <mergeCell ref="A19:E19"/>
    <mergeCell ref="G8:G11"/>
    <mergeCell ref="A7:H7"/>
    <mergeCell ref="H8:H11"/>
    <mergeCell ref="A3:H3"/>
    <mergeCell ref="A4:H4"/>
    <mergeCell ref="A5:H5"/>
    <mergeCell ref="A6:F6"/>
    <mergeCell ref="I8:I11"/>
    <mergeCell ref="F8:F11"/>
    <mergeCell ref="A20:H20"/>
    <mergeCell ref="A21:A24"/>
    <mergeCell ref="B21:B24"/>
    <mergeCell ref="C21:C24"/>
    <mergeCell ref="D21:D24"/>
    <mergeCell ref="E21:E24"/>
    <mergeCell ref="A8:A11"/>
    <mergeCell ref="B8:B11"/>
    <mergeCell ref="C8:C11"/>
    <mergeCell ref="D8:D11"/>
    <mergeCell ref="E8:E11"/>
    <mergeCell ref="F21:F24"/>
    <mergeCell ref="J23:K23"/>
    <mergeCell ref="J24:K24"/>
    <mergeCell ref="A32:E32"/>
    <mergeCell ref="A34:A37"/>
    <mergeCell ref="B34:B37"/>
    <mergeCell ref="C34:C37"/>
    <mergeCell ref="D34:D37"/>
    <mergeCell ref="E34:E37"/>
    <mergeCell ref="F34:F37"/>
    <mergeCell ref="G34:G37"/>
    <mergeCell ref="J36:K36"/>
    <mergeCell ref="J37:K37"/>
    <mergeCell ref="H21:H24"/>
    <mergeCell ref="H34:H37"/>
    <mergeCell ref="A33:H33"/>
    <mergeCell ref="G21:G24"/>
    <mergeCell ref="I21:I24"/>
    <mergeCell ref="I34:I37"/>
    <mergeCell ref="A45:E45"/>
    <mergeCell ref="A111:H111"/>
    <mergeCell ref="G47:G50"/>
    <mergeCell ref="J49:K49"/>
    <mergeCell ref="J50:K50"/>
    <mergeCell ref="H47:H50"/>
    <mergeCell ref="A46:H46"/>
    <mergeCell ref="A47:A50"/>
    <mergeCell ref="B47:B50"/>
    <mergeCell ref="C47:C50"/>
    <mergeCell ref="D47:D50"/>
    <mergeCell ref="E47:E50"/>
    <mergeCell ref="F47:F50"/>
    <mergeCell ref="A59:H59"/>
    <mergeCell ref="A60:A63"/>
    <mergeCell ref="B60:B63"/>
    <mergeCell ref="I47:I50"/>
    <mergeCell ref="H60:H63"/>
    <mergeCell ref="I60:I63"/>
    <mergeCell ref="J62:K62"/>
    <mergeCell ref="J63:K63"/>
    <mergeCell ref="C60:C63"/>
    <mergeCell ref="D60:D63"/>
    <mergeCell ref="E60:E63"/>
    <mergeCell ref="F60:F63"/>
    <mergeCell ref="G60:G63"/>
    <mergeCell ref="A72:H72"/>
    <mergeCell ref="A73:A76"/>
    <mergeCell ref="B73:B76"/>
    <mergeCell ref="C73:C76"/>
    <mergeCell ref="D73:D76"/>
    <mergeCell ref="E73:E76"/>
    <mergeCell ref="F73:F76"/>
    <mergeCell ref="G73:G76"/>
    <mergeCell ref="H73:H76"/>
    <mergeCell ref="J75:K75"/>
    <mergeCell ref="J76:K76"/>
    <mergeCell ref="A85:H85"/>
    <mergeCell ref="A86:A89"/>
    <mergeCell ref="B86:B89"/>
    <mergeCell ref="C86:C89"/>
    <mergeCell ref="D86:D89"/>
    <mergeCell ref="E86:E89"/>
    <mergeCell ref="F86:F89"/>
    <mergeCell ref="G86:G89"/>
    <mergeCell ref="H86:H89"/>
    <mergeCell ref="I86:I89"/>
    <mergeCell ref="I73:I76"/>
    <mergeCell ref="I99:I102"/>
    <mergeCell ref="A98:H98"/>
    <mergeCell ref="A99:A102"/>
    <mergeCell ref="B99:B102"/>
    <mergeCell ref="C99:C102"/>
    <mergeCell ref="D99:D102"/>
    <mergeCell ref="E99:E102"/>
    <mergeCell ref="F99:F102"/>
    <mergeCell ref="G99:G102"/>
    <mergeCell ref="H99:H102"/>
  </mergeCells>
  <pageMargins left="0.7" right="0.7" top="0.75" bottom="0.75" header="0.3" footer="0.3"/>
  <pageSetup scale="5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65"/>
  <sheetViews>
    <sheetView topLeftCell="A51" zoomScale="89" zoomScaleNormal="89" workbookViewId="0">
      <selection activeCell="Q40" sqref="Q40"/>
    </sheetView>
  </sheetViews>
  <sheetFormatPr defaultColWidth="9.140625" defaultRowHeight="12.75" x14ac:dyDescent="0.2"/>
  <cols>
    <col min="1" max="1" width="9.85546875" style="101" customWidth="1"/>
    <col min="2" max="2" width="7.140625" style="101" customWidth="1"/>
    <col min="3" max="3" width="51.7109375" style="327" customWidth="1"/>
    <col min="4" max="4" width="18.5703125" style="101" customWidth="1"/>
    <col min="5" max="5" width="15.42578125" style="101" customWidth="1"/>
    <col min="6" max="7" width="18.5703125" style="101" customWidth="1"/>
    <col min="8" max="8" width="21.85546875" style="101" customWidth="1"/>
    <col min="9" max="9" width="18.42578125" style="101" customWidth="1"/>
    <col min="10" max="11" width="20.28515625" style="101" customWidth="1"/>
    <col min="12" max="12" width="22.140625" style="101" customWidth="1"/>
    <col min="13" max="13" width="16.7109375" style="101" customWidth="1"/>
    <col min="14" max="15" width="20.28515625" style="101" customWidth="1"/>
    <col min="16" max="16" width="18.140625" style="101" customWidth="1"/>
    <col min="17" max="17" width="83.7109375" style="101" customWidth="1"/>
    <col min="18" max="16384" width="9.140625" style="101"/>
  </cols>
  <sheetData>
    <row r="1" spans="1:17" ht="20.100000000000001" customHeight="1" x14ac:dyDescent="0.2">
      <c r="A1" s="184" t="s">
        <v>159</v>
      </c>
      <c r="B1" s="184"/>
      <c r="C1" s="317"/>
      <c r="D1" s="184"/>
      <c r="E1" s="184"/>
      <c r="F1" s="184"/>
      <c r="G1" s="184"/>
      <c r="H1" s="184"/>
      <c r="I1" s="184"/>
      <c r="J1" s="184"/>
      <c r="K1" s="184"/>
      <c r="L1" s="184"/>
      <c r="M1" s="184"/>
      <c r="N1" s="184"/>
      <c r="O1" s="184"/>
    </row>
    <row r="2" spans="1:17" ht="20.100000000000001" customHeight="1" x14ac:dyDescent="0.2">
      <c r="A2" s="464" t="str">
        <f>'Institution ID'!C3</f>
        <v>Virginia Military Institute</v>
      </c>
      <c r="B2" s="464"/>
      <c r="C2" s="464"/>
      <c r="D2" s="464"/>
      <c r="E2" s="464"/>
      <c r="F2" s="464"/>
      <c r="G2" s="464"/>
      <c r="H2" s="464"/>
      <c r="I2" s="464"/>
      <c r="J2" s="464"/>
      <c r="K2" s="380"/>
      <c r="L2" s="380"/>
      <c r="M2" s="380"/>
      <c r="N2" s="380"/>
      <c r="O2" s="380"/>
    </row>
    <row r="3" spans="1:17" ht="297.75" customHeight="1" x14ac:dyDescent="0.2">
      <c r="A3" s="465" t="s">
        <v>160</v>
      </c>
      <c r="B3" s="466"/>
      <c r="C3" s="466"/>
      <c r="D3" s="466"/>
      <c r="E3" s="466"/>
      <c r="F3" s="466"/>
      <c r="G3" s="466"/>
      <c r="H3" s="466"/>
      <c r="I3" s="466"/>
      <c r="J3" s="466"/>
      <c r="K3" s="466"/>
      <c r="L3" s="466"/>
      <c r="M3" s="466"/>
      <c r="N3" s="466"/>
      <c r="O3" s="466"/>
      <c r="P3" s="466"/>
      <c r="Q3" s="466"/>
    </row>
    <row r="4" spans="1:17" ht="30.75" customHeight="1" x14ac:dyDescent="0.2">
      <c r="A4" s="381"/>
      <c r="B4" s="467" t="s">
        <v>161</v>
      </c>
      <c r="C4" s="467"/>
      <c r="D4" s="467"/>
      <c r="E4" s="381"/>
      <c r="F4" s="381"/>
      <c r="G4" s="381"/>
      <c r="H4" s="328" t="s">
        <v>162</v>
      </c>
      <c r="I4" s="381"/>
      <c r="J4" s="381"/>
      <c r="K4" s="381"/>
      <c r="L4" s="328" t="s">
        <v>163</v>
      </c>
      <c r="M4" s="381"/>
      <c r="N4" s="381"/>
      <c r="O4" s="381"/>
      <c r="P4" s="381"/>
      <c r="Q4" s="381"/>
    </row>
    <row r="5" spans="1:17" ht="20.100000000000001" customHeight="1" x14ac:dyDescent="0.2">
      <c r="A5" s="214"/>
      <c r="B5" s="190" t="s">
        <v>164</v>
      </c>
      <c r="C5" s="318"/>
      <c r="D5" s="192">
        <v>47605000</v>
      </c>
      <c r="E5" s="183"/>
      <c r="F5" s="183"/>
      <c r="G5" s="183"/>
      <c r="H5" s="329" t="s">
        <v>165</v>
      </c>
      <c r="I5" s="183"/>
      <c r="J5" s="183"/>
      <c r="K5" s="183"/>
      <c r="L5" s="329" t="s">
        <v>165</v>
      </c>
      <c r="M5" s="183"/>
      <c r="N5" s="183"/>
      <c r="O5" s="183"/>
      <c r="P5" s="183"/>
    </row>
    <row r="6" spans="1:17" ht="20.100000000000001" customHeight="1" x14ac:dyDescent="0.2">
      <c r="A6" s="214"/>
      <c r="B6" s="191" t="s">
        <v>166</v>
      </c>
      <c r="C6" s="319"/>
      <c r="D6" s="193">
        <v>52601000</v>
      </c>
      <c r="E6" s="183"/>
      <c r="F6" s="183"/>
      <c r="G6" s="183"/>
      <c r="H6" s="390">
        <f>IFERROR(SUM(H12:H18,H22)/SUM(E12:E18,E22),"%")</f>
        <v>0.42099909465000562</v>
      </c>
      <c r="I6" s="183"/>
      <c r="J6" s="183"/>
      <c r="K6" s="183"/>
      <c r="L6" s="390">
        <f>IFERROR(SUM(L12:L18,L22)/SUM(I12:I18,I22),"%")</f>
        <v>0.42099940193848984</v>
      </c>
      <c r="M6" s="183"/>
      <c r="N6" s="183"/>
      <c r="O6" s="183"/>
      <c r="P6" s="183"/>
    </row>
    <row r="7" spans="1:17" ht="20.100000000000001" customHeight="1" x14ac:dyDescent="0.2">
      <c r="A7" s="214"/>
      <c r="B7" s="185"/>
      <c r="C7" s="320"/>
      <c r="D7" s="186"/>
      <c r="E7" s="183"/>
      <c r="F7" s="183"/>
      <c r="G7" s="183"/>
      <c r="H7" s="330"/>
      <c r="I7" s="183"/>
      <c r="J7" s="183"/>
      <c r="K7" s="183"/>
      <c r="L7" s="330"/>
      <c r="M7" s="183"/>
      <c r="N7" s="183"/>
      <c r="O7" s="183"/>
      <c r="P7" s="183"/>
    </row>
    <row r="8" spans="1:17" ht="20.100000000000001" customHeight="1" x14ac:dyDescent="0.2">
      <c r="A8" s="214"/>
      <c r="B8" s="185"/>
      <c r="C8" s="320"/>
      <c r="D8" s="186"/>
      <c r="E8" s="473" t="s">
        <v>167</v>
      </c>
      <c r="F8" s="474"/>
      <c r="G8" s="474"/>
      <c r="H8" s="474"/>
      <c r="I8" s="474"/>
      <c r="J8" s="474"/>
      <c r="K8" s="474"/>
      <c r="L8" s="474"/>
      <c r="M8" s="474"/>
      <c r="N8" s="474"/>
      <c r="O8" s="474"/>
      <c r="P8" s="475"/>
    </row>
    <row r="9" spans="1:17" ht="16.5" customHeight="1" x14ac:dyDescent="0.2">
      <c r="A9" s="215"/>
      <c r="B9" s="462"/>
      <c r="C9" s="463"/>
      <c r="D9" s="216"/>
      <c r="E9" s="468" t="s">
        <v>168</v>
      </c>
      <c r="F9" s="469"/>
      <c r="G9" s="469"/>
      <c r="H9" s="470"/>
      <c r="I9" s="468" t="s">
        <v>169</v>
      </c>
      <c r="J9" s="469"/>
      <c r="K9" s="469"/>
      <c r="L9" s="470"/>
      <c r="M9" s="204" t="s">
        <v>170</v>
      </c>
      <c r="N9" s="204" t="s">
        <v>171</v>
      </c>
      <c r="O9" s="204" t="s">
        <v>172</v>
      </c>
      <c r="P9" s="204" t="s">
        <v>173</v>
      </c>
      <c r="Q9" s="471" t="s">
        <v>174</v>
      </c>
    </row>
    <row r="10" spans="1:17" ht="60.75" customHeight="1" x14ac:dyDescent="0.2">
      <c r="A10" s="215"/>
      <c r="B10" s="217"/>
      <c r="C10" s="321" t="s">
        <v>175</v>
      </c>
      <c r="D10" s="204"/>
      <c r="E10" s="205" t="s">
        <v>176</v>
      </c>
      <c r="F10" s="206" t="s">
        <v>177</v>
      </c>
      <c r="G10" s="206" t="s">
        <v>178</v>
      </c>
      <c r="H10" s="207" t="s">
        <v>179</v>
      </c>
      <c r="I10" s="205" t="s">
        <v>176</v>
      </c>
      <c r="J10" s="206" t="s">
        <v>177</v>
      </c>
      <c r="K10" s="206" t="s">
        <v>178</v>
      </c>
      <c r="L10" s="207" t="s">
        <v>179</v>
      </c>
      <c r="M10" s="204" t="s">
        <v>180</v>
      </c>
      <c r="N10" s="204" t="s">
        <v>180</v>
      </c>
      <c r="O10" s="204" t="s">
        <v>180</v>
      </c>
      <c r="P10" s="204" t="s">
        <v>180</v>
      </c>
      <c r="Q10" s="472"/>
    </row>
    <row r="11" spans="1:17" ht="15.75" x14ac:dyDescent="0.2">
      <c r="A11" s="215"/>
      <c r="B11" s="218" t="s">
        <v>181</v>
      </c>
      <c r="C11" s="322"/>
      <c r="D11" s="196"/>
      <c r="E11" s="199"/>
      <c r="F11" s="194"/>
      <c r="G11" s="194"/>
      <c r="H11" s="200"/>
      <c r="I11" s="199"/>
      <c r="J11" s="194"/>
      <c r="K11" s="194"/>
      <c r="L11" s="200"/>
      <c r="M11" s="196"/>
      <c r="N11" s="196"/>
      <c r="O11" s="196"/>
      <c r="P11" s="196"/>
      <c r="Q11" s="219"/>
    </row>
    <row r="12" spans="1:17" ht="37.5" customHeight="1" x14ac:dyDescent="0.2">
      <c r="A12" s="187"/>
      <c r="B12" s="220"/>
      <c r="C12" s="238" t="s">
        <v>182</v>
      </c>
      <c r="D12" s="197"/>
      <c r="E12" s="210">
        <f t="shared" ref="E12:E20" si="0">SUM(F12:H12)</f>
        <v>408527</v>
      </c>
      <c r="F12" s="211">
        <f>0</f>
        <v>0</v>
      </c>
      <c r="G12" s="211">
        <v>236537</v>
      </c>
      <c r="H12" s="212">
        <v>171990</v>
      </c>
      <c r="I12" s="210">
        <f t="shared" ref="I12:I20" si="1">SUM(J12:L12)</f>
        <v>740334</v>
      </c>
      <c r="J12" s="211">
        <f>0</f>
        <v>0</v>
      </c>
      <c r="K12" s="211">
        <v>428654</v>
      </c>
      <c r="L12" s="212">
        <v>311680</v>
      </c>
      <c r="M12" s="213">
        <v>1078777</v>
      </c>
      <c r="N12" s="213">
        <v>1423989</v>
      </c>
      <c r="O12" s="213">
        <v>1776105</v>
      </c>
      <c r="P12" s="213">
        <v>2135263</v>
      </c>
      <c r="Q12" s="221"/>
    </row>
    <row r="13" spans="1:17" ht="37.5" customHeight="1" x14ac:dyDescent="0.2">
      <c r="A13" s="187"/>
      <c r="B13" s="220"/>
      <c r="C13" s="238" t="s">
        <v>183</v>
      </c>
      <c r="D13" s="197"/>
      <c r="E13" s="210">
        <f t="shared" si="0"/>
        <v>314530</v>
      </c>
      <c r="F13" s="211">
        <f>0</f>
        <v>0</v>
      </c>
      <c r="G13" s="211">
        <v>182113</v>
      </c>
      <c r="H13" s="212">
        <v>132417</v>
      </c>
      <c r="I13" s="210">
        <f t="shared" si="1"/>
        <v>569991</v>
      </c>
      <c r="J13" s="211">
        <f>0</f>
        <v>0</v>
      </c>
      <c r="K13" s="211">
        <v>330025</v>
      </c>
      <c r="L13" s="212">
        <v>239966</v>
      </c>
      <c r="M13" s="213">
        <v>830562</v>
      </c>
      <c r="N13" s="213">
        <v>1096344</v>
      </c>
      <c r="O13" s="213">
        <v>1367442</v>
      </c>
      <c r="P13" s="213">
        <v>1643961</v>
      </c>
      <c r="Q13" s="221"/>
    </row>
    <row r="14" spans="1:17" ht="37.5" customHeight="1" x14ac:dyDescent="0.2">
      <c r="A14" s="187"/>
      <c r="B14" s="220"/>
      <c r="C14" s="323" t="s">
        <v>184</v>
      </c>
      <c r="D14" s="197"/>
      <c r="E14" s="210">
        <f t="shared" si="0"/>
        <v>287888</v>
      </c>
      <c r="F14" s="211">
        <f>0</f>
        <v>0</v>
      </c>
      <c r="G14" s="211">
        <v>166688</v>
      </c>
      <c r="H14" s="212">
        <v>121200</v>
      </c>
      <c r="I14" s="210">
        <f t="shared" si="1"/>
        <v>521711</v>
      </c>
      <c r="J14" s="211">
        <f>0</f>
        <v>0</v>
      </c>
      <c r="K14" s="211">
        <v>302071</v>
      </c>
      <c r="L14" s="212">
        <v>219640</v>
      </c>
      <c r="M14" s="213">
        <v>760210</v>
      </c>
      <c r="N14" s="213">
        <v>1003481</v>
      </c>
      <c r="O14" s="213">
        <v>1251616</v>
      </c>
      <c r="P14" s="213">
        <v>1504713</v>
      </c>
      <c r="Q14" s="221"/>
    </row>
    <row r="15" spans="1:17" ht="37.5" customHeight="1" x14ac:dyDescent="0.2">
      <c r="A15" s="187"/>
      <c r="B15" s="220"/>
      <c r="C15" s="238" t="s">
        <v>185</v>
      </c>
      <c r="D15" s="197"/>
      <c r="E15" s="210">
        <f t="shared" si="0"/>
        <v>0</v>
      </c>
      <c r="F15" s="211">
        <f>0</f>
        <v>0</v>
      </c>
      <c r="G15" s="211">
        <f>0</f>
        <v>0</v>
      </c>
      <c r="H15" s="212">
        <f>0</f>
        <v>0</v>
      </c>
      <c r="I15" s="210">
        <f t="shared" si="1"/>
        <v>0</v>
      </c>
      <c r="J15" s="211">
        <f>0</f>
        <v>0</v>
      </c>
      <c r="K15" s="211">
        <f>0</f>
        <v>0</v>
      </c>
      <c r="L15" s="212">
        <f>0</f>
        <v>0</v>
      </c>
      <c r="M15" s="213">
        <f>0</f>
        <v>0</v>
      </c>
      <c r="N15" s="213">
        <f>0</f>
        <v>0</v>
      </c>
      <c r="O15" s="213">
        <f>0</f>
        <v>0</v>
      </c>
      <c r="P15" s="213">
        <f>0</f>
        <v>0</v>
      </c>
      <c r="Q15" s="221"/>
    </row>
    <row r="16" spans="1:17" ht="37.5" customHeight="1" x14ac:dyDescent="0.2">
      <c r="A16" s="187"/>
      <c r="B16" s="220"/>
      <c r="C16" s="238" t="s">
        <v>186</v>
      </c>
      <c r="D16" s="197"/>
      <c r="E16" s="210">
        <f t="shared" si="0"/>
        <v>0</v>
      </c>
      <c r="F16" s="211">
        <f>0</f>
        <v>0</v>
      </c>
      <c r="G16" s="211">
        <f>0</f>
        <v>0</v>
      </c>
      <c r="H16" s="212">
        <f>0</f>
        <v>0</v>
      </c>
      <c r="I16" s="210">
        <f t="shared" si="1"/>
        <v>0</v>
      </c>
      <c r="J16" s="211">
        <f>0</f>
        <v>0</v>
      </c>
      <c r="K16" s="211">
        <f>0</f>
        <v>0</v>
      </c>
      <c r="L16" s="212">
        <f>0</f>
        <v>0</v>
      </c>
      <c r="M16" s="213">
        <f>0</f>
        <v>0</v>
      </c>
      <c r="N16" s="213">
        <f>0</f>
        <v>0</v>
      </c>
      <c r="O16" s="213">
        <f>0</f>
        <v>0</v>
      </c>
      <c r="P16" s="213">
        <f>0</f>
        <v>0</v>
      </c>
      <c r="Q16" s="221"/>
    </row>
    <row r="17" spans="1:17" ht="37.5" customHeight="1" x14ac:dyDescent="0.2">
      <c r="A17" s="187"/>
      <c r="B17" s="220"/>
      <c r="C17" s="238" t="s">
        <v>187</v>
      </c>
      <c r="D17" s="197"/>
      <c r="E17" s="210">
        <f t="shared" si="0"/>
        <v>33909</v>
      </c>
      <c r="F17" s="211">
        <f>0</f>
        <v>0</v>
      </c>
      <c r="G17" s="211">
        <v>19633</v>
      </c>
      <c r="H17" s="212">
        <v>14276</v>
      </c>
      <c r="I17" s="210">
        <f t="shared" si="1"/>
        <v>68496</v>
      </c>
      <c r="J17" s="211">
        <f>0</f>
        <v>0</v>
      </c>
      <c r="K17" s="211">
        <v>39659</v>
      </c>
      <c r="L17" s="212">
        <v>28837</v>
      </c>
      <c r="M17" s="213">
        <v>103774</v>
      </c>
      <c r="N17" s="213">
        <v>139759</v>
      </c>
      <c r="O17" s="213">
        <v>176463</v>
      </c>
      <c r="P17" s="213">
        <v>213901</v>
      </c>
      <c r="Q17" s="221"/>
    </row>
    <row r="18" spans="1:17" ht="18" x14ac:dyDescent="0.2">
      <c r="A18" s="187"/>
      <c r="B18" s="220"/>
      <c r="C18" s="238" t="s">
        <v>188</v>
      </c>
      <c r="D18" s="197"/>
      <c r="E18" s="210">
        <f t="shared" si="0"/>
        <v>188923</v>
      </c>
      <c r="F18" s="211">
        <f>0</f>
        <v>0</v>
      </c>
      <c r="G18" s="211">
        <v>109387</v>
      </c>
      <c r="H18" s="212">
        <v>79536</v>
      </c>
      <c r="I18" s="210">
        <f t="shared" si="1"/>
        <v>383514</v>
      </c>
      <c r="J18" s="211">
        <f>0</f>
        <v>0</v>
      </c>
      <c r="K18" s="211">
        <v>222055</v>
      </c>
      <c r="L18" s="212">
        <v>161459</v>
      </c>
      <c r="M18" s="213">
        <v>583942</v>
      </c>
      <c r="N18" s="213">
        <v>790383</v>
      </c>
      <c r="O18" s="213">
        <v>1003018</v>
      </c>
      <c r="P18" s="213">
        <v>1222031</v>
      </c>
      <c r="Q18" s="221"/>
    </row>
    <row r="19" spans="1:17" ht="37.5" customHeight="1" x14ac:dyDescent="0.2">
      <c r="A19" s="187"/>
      <c r="B19" s="220"/>
      <c r="C19" s="238" t="s">
        <v>362</v>
      </c>
      <c r="D19" s="197"/>
      <c r="E19" s="210">
        <f t="shared" si="0"/>
        <v>36781</v>
      </c>
      <c r="F19" s="211">
        <f>0</f>
        <v>0</v>
      </c>
      <c r="G19" s="211">
        <v>36781</v>
      </c>
      <c r="H19" s="316"/>
      <c r="I19" s="210">
        <f t="shared" si="1"/>
        <v>74297</v>
      </c>
      <c r="J19" s="211">
        <f>0</f>
        <v>0</v>
      </c>
      <c r="K19" s="211">
        <v>74297</v>
      </c>
      <c r="L19" s="316"/>
      <c r="M19" s="213">
        <v>112565</v>
      </c>
      <c r="N19" s="213">
        <v>151597</v>
      </c>
      <c r="O19" s="213">
        <v>191410</v>
      </c>
      <c r="P19" s="213">
        <v>232019</v>
      </c>
      <c r="Q19" s="221"/>
    </row>
    <row r="20" spans="1:17" ht="37.5" customHeight="1" x14ac:dyDescent="0.2">
      <c r="A20" s="187"/>
      <c r="B20" s="220"/>
      <c r="C20" s="238" t="s">
        <v>189</v>
      </c>
      <c r="D20" s="197"/>
      <c r="E20" s="210">
        <f t="shared" si="0"/>
        <v>0</v>
      </c>
      <c r="F20" s="211">
        <f>0</f>
        <v>0</v>
      </c>
      <c r="G20" s="211">
        <f>0</f>
        <v>0</v>
      </c>
      <c r="H20" s="316"/>
      <c r="I20" s="210">
        <f t="shared" si="1"/>
        <v>0</v>
      </c>
      <c r="J20" s="211">
        <f>0</f>
        <v>0</v>
      </c>
      <c r="K20" s="211">
        <f>0</f>
        <v>0</v>
      </c>
      <c r="L20" s="316"/>
      <c r="M20" s="213">
        <f>0</f>
        <v>0</v>
      </c>
      <c r="N20" s="213">
        <f>0</f>
        <v>0</v>
      </c>
      <c r="O20" s="213">
        <f>0</f>
        <v>0</v>
      </c>
      <c r="P20" s="213">
        <f>0</f>
        <v>0</v>
      </c>
      <c r="Q20" s="221"/>
    </row>
    <row r="21" spans="1:17" ht="20.100000000000001" customHeight="1" x14ac:dyDescent="0.2">
      <c r="A21" s="187"/>
      <c r="B21" s="218" t="s">
        <v>190</v>
      </c>
      <c r="C21" s="324"/>
      <c r="D21" s="198"/>
      <c r="E21" s="201"/>
      <c r="F21" s="195"/>
      <c r="G21" s="195"/>
      <c r="H21" s="202"/>
      <c r="I21" s="201"/>
      <c r="J21" s="195"/>
      <c r="K21" s="195"/>
      <c r="L21" s="202"/>
      <c r="M21" s="203"/>
      <c r="N21" s="203"/>
      <c r="O21" s="203"/>
      <c r="P21" s="203"/>
      <c r="Q21" s="219"/>
    </row>
    <row r="22" spans="1:17" ht="37.5" customHeight="1" x14ac:dyDescent="0.2">
      <c r="A22" s="187"/>
      <c r="B22" s="217"/>
      <c r="C22" s="238" t="s">
        <v>191</v>
      </c>
      <c r="D22" s="197"/>
      <c r="E22" s="210">
        <f>SUM(F22:H22)</f>
        <v>0</v>
      </c>
      <c r="F22" s="211">
        <f>0</f>
        <v>0</v>
      </c>
      <c r="G22" s="211">
        <f>0</f>
        <v>0</v>
      </c>
      <c r="H22" s="212">
        <f>0</f>
        <v>0</v>
      </c>
      <c r="I22" s="210">
        <f>SUM(J22:L22)</f>
        <v>0</v>
      </c>
      <c r="J22" s="211">
        <f>0</f>
        <v>0</v>
      </c>
      <c r="K22" s="211">
        <f>0</f>
        <v>0</v>
      </c>
      <c r="L22" s="212">
        <f>0</f>
        <v>0</v>
      </c>
      <c r="M22" s="213">
        <f>0</f>
        <v>0</v>
      </c>
      <c r="N22" s="213">
        <f>0</f>
        <v>0</v>
      </c>
      <c r="O22" s="213">
        <f>0</f>
        <v>0</v>
      </c>
      <c r="P22" s="213">
        <f>0</f>
        <v>0</v>
      </c>
      <c r="Q22" s="221"/>
    </row>
    <row r="23" spans="1:17" ht="37.5" customHeight="1" x14ac:dyDescent="0.2">
      <c r="A23" s="187"/>
      <c r="B23" s="217"/>
      <c r="C23" s="238" t="s">
        <v>192</v>
      </c>
      <c r="D23" s="197"/>
      <c r="E23" s="210">
        <f>SUM(F23:H23)</f>
        <v>103380</v>
      </c>
      <c r="F23" s="211">
        <f>0</f>
        <v>0</v>
      </c>
      <c r="G23" s="211">
        <v>103380</v>
      </c>
      <c r="H23" s="316"/>
      <c r="I23" s="210">
        <f>SUM(J23:L23)</f>
        <v>313241</v>
      </c>
      <c r="J23" s="211">
        <f>0</f>
        <v>0</v>
      </c>
      <c r="K23" s="211">
        <v>313241</v>
      </c>
      <c r="L23" s="316"/>
      <c r="M23" s="211">
        <v>529399</v>
      </c>
      <c r="N23" s="211">
        <v>752041</v>
      </c>
      <c r="O23" s="211">
        <v>981362</v>
      </c>
      <c r="P23" s="211">
        <v>1217563</v>
      </c>
      <c r="Q23" s="221"/>
    </row>
    <row r="24" spans="1:17" ht="37.5" customHeight="1" x14ac:dyDescent="0.2">
      <c r="A24" s="187"/>
      <c r="B24" s="217"/>
      <c r="C24" s="238" t="s">
        <v>193</v>
      </c>
      <c r="D24" s="197"/>
      <c r="E24" s="210">
        <f>SUM(F24:H24)</f>
        <v>119714</v>
      </c>
      <c r="F24" s="211">
        <f>0</f>
        <v>0</v>
      </c>
      <c r="G24" s="211">
        <v>119714</v>
      </c>
      <c r="H24" s="316"/>
      <c r="I24" s="210">
        <f>SUM(J24:L24)</f>
        <v>243020</v>
      </c>
      <c r="J24" s="211">
        <f>0</f>
        <v>0</v>
      </c>
      <c r="K24" s="211">
        <v>243020</v>
      </c>
      <c r="L24" s="316"/>
      <c r="M24" s="213">
        <v>370025</v>
      </c>
      <c r="N24" s="213">
        <v>500840</v>
      </c>
      <c r="O24" s="213">
        <v>635580</v>
      </c>
      <c r="P24" s="213">
        <v>774361</v>
      </c>
      <c r="Q24" s="221"/>
    </row>
    <row r="25" spans="1:17" ht="37.5" customHeight="1" x14ac:dyDescent="0.2">
      <c r="A25" s="187"/>
      <c r="B25" s="217"/>
      <c r="C25" s="238" t="s">
        <v>365</v>
      </c>
      <c r="D25" s="197"/>
      <c r="E25" s="210">
        <f>SUM(F25:H25)</f>
        <v>0</v>
      </c>
      <c r="F25" s="211">
        <f>0</f>
        <v>0</v>
      </c>
      <c r="G25" s="211">
        <f>0</f>
        <v>0</v>
      </c>
      <c r="H25" s="316"/>
      <c r="I25" s="210">
        <f>SUM(J25:L25)</f>
        <v>250000</v>
      </c>
      <c r="J25" s="211">
        <f>0</f>
        <v>0</v>
      </c>
      <c r="K25" s="211">
        <v>250000</v>
      </c>
      <c r="L25" s="316"/>
      <c r="M25" s="213">
        <v>500000</v>
      </c>
      <c r="N25" s="213">
        <v>750000</v>
      </c>
      <c r="O25" s="213">
        <v>1000000</v>
      </c>
      <c r="P25" s="213">
        <v>1000000</v>
      </c>
      <c r="Q25" s="221"/>
    </row>
    <row r="26" spans="1:17" ht="37.5" customHeight="1" x14ac:dyDescent="0.2">
      <c r="A26" s="187"/>
      <c r="B26" s="217"/>
      <c r="C26" s="238" t="s">
        <v>189</v>
      </c>
      <c r="D26" s="197"/>
      <c r="E26" s="210">
        <f>SUM(F26:H26)</f>
        <v>0</v>
      </c>
      <c r="F26" s="211">
        <f>0</f>
        <v>0</v>
      </c>
      <c r="G26" s="211">
        <f>0</f>
        <v>0</v>
      </c>
      <c r="H26" s="316"/>
      <c r="I26" s="210">
        <f>SUM(J26:L26)</f>
        <v>0</v>
      </c>
      <c r="J26" s="211">
        <f>0</f>
        <v>0</v>
      </c>
      <c r="K26" s="211">
        <f>0</f>
        <v>0</v>
      </c>
      <c r="L26" s="316"/>
      <c r="M26" s="213">
        <f>0</f>
        <v>0</v>
      </c>
      <c r="N26" s="213">
        <f>0</f>
        <v>0</v>
      </c>
      <c r="O26" s="213">
        <f>0</f>
        <v>0</v>
      </c>
      <c r="P26" s="213">
        <f>0</f>
        <v>0</v>
      </c>
      <c r="Q26" s="221"/>
    </row>
    <row r="27" spans="1:17" ht="20.100000000000001" customHeight="1" x14ac:dyDescent="0.2">
      <c r="A27" s="187"/>
      <c r="B27" s="218" t="s">
        <v>194</v>
      </c>
      <c r="C27" s="324"/>
      <c r="D27" s="198"/>
      <c r="E27" s="201"/>
      <c r="F27" s="195"/>
      <c r="G27" s="195"/>
      <c r="H27" s="202"/>
      <c r="I27" s="201"/>
      <c r="J27" s="195"/>
      <c r="K27" s="195"/>
      <c r="L27" s="202"/>
      <c r="M27" s="203"/>
      <c r="N27" s="203"/>
      <c r="O27" s="203"/>
      <c r="P27" s="203"/>
      <c r="Q27" s="219"/>
    </row>
    <row r="28" spans="1:17" ht="37.5" customHeight="1" x14ac:dyDescent="0.2">
      <c r="A28" s="187"/>
      <c r="B28" s="217"/>
      <c r="C28" s="323" t="s">
        <v>195</v>
      </c>
      <c r="D28" s="197"/>
      <c r="E28" s="210">
        <f>SUM(F28:H28)</f>
        <v>25000</v>
      </c>
      <c r="F28" s="211">
        <f>0</f>
        <v>0</v>
      </c>
      <c r="G28" s="211">
        <v>25000</v>
      </c>
      <c r="H28" s="316"/>
      <c r="I28" s="210">
        <f>SUM(J28:L28)</f>
        <v>50000</v>
      </c>
      <c r="J28" s="211">
        <f>0</f>
        <v>0</v>
      </c>
      <c r="K28" s="211">
        <v>50000</v>
      </c>
      <c r="L28" s="316"/>
      <c r="M28" s="213">
        <v>100000</v>
      </c>
      <c r="N28" s="213">
        <v>150000</v>
      </c>
      <c r="O28" s="213">
        <v>200000</v>
      </c>
      <c r="P28" s="213">
        <v>250000</v>
      </c>
      <c r="Q28" s="221"/>
    </row>
    <row r="29" spans="1:17" ht="37.5" customHeight="1" x14ac:dyDescent="0.2">
      <c r="A29" s="187"/>
      <c r="B29" s="217"/>
      <c r="C29" s="323" t="s">
        <v>196</v>
      </c>
      <c r="D29" s="197"/>
      <c r="E29" s="210">
        <f>SUM(F29:H29)</f>
        <v>75000</v>
      </c>
      <c r="F29" s="211">
        <f>0</f>
        <v>0</v>
      </c>
      <c r="G29" s="211">
        <v>75000</v>
      </c>
      <c r="H29" s="316"/>
      <c r="I29" s="210">
        <f>SUM(J29:L29)</f>
        <v>150000</v>
      </c>
      <c r="J29" s="211">
        <f>0</f>
        <v>0</v>
      </c>
      <c r="K29" s="211">
        <v>150000</v>
      </c>
      <c r="L29" s="316"/>
      <c r="M29" s="213">
        <v>300000</v>
      </c>
      <c r="N29" s="213">
        <v>450000</v>
      </c>
      <c r="O29" s="213">
        <v>600000</v>
      </c>
      <c r="P29" s="213">
        <v>750000</v>
      </c>
      <c r="Q29" s="221"/>
    </row>
    <row r="30" spans="1:17" ht="37.5" customHeight="1" x14ac:dyDescent="0.2">
      <c r="A30" s="187"/>
      <c r="B30" s="220"/>
      <c r="C30" s="238" t="s">
        <v>189</v>
      </c>
      <c r="D30" s="197"/>
      <c r="E30" s="210">
        <f>SUM(F30:H30)</f>
        <v>0</v>
      </c>
      <c r="F30" s="211">
        <f>0</f>
        <v>0</v>
      </c>
      <c r="G30" s="211">
        <f>0</f>
        <v>0</v>
      </c>
      <c r="H30" s="316"/>
      <c r="I30" s="210">
        <f>SUM(J30:L30)</f>
        <v>0</v>
      </c>
      <c r="J30" s="211">
        <f>0</f>
        <v>0</v>
      </c>
      <c r="K30" s="211">
        <f>0</f>
        <v>0</v>
      </c>
      <c r="L30" s="316"/>
      <c r="M30" s="213">
        <f>0</f>
        <v>0</v>
      </c>
      <c r="N30" s="213">
        <f>0</f>
        <v>0</v>
      </c>
      <c r="O30" s="213">
        <f>0</f>
        <v>0</v>
      </c>
      <c r="P30" s="213">
        <f>0</f>
        <v>0</v>
      </c>
      <c r="Q30" s="221"/>
    </row>
    <row r="31" spans="1:17" ht="37.5" customHeight="1" x14ac:dyDescent="0.2">
      <c r="A31" s="187"/>
      <c r="B31" s="220"/>
      <c r="C31" s="238" t="s">
        <v>189</v>
      </c>
      <c r="D31" s="197"/>
      <c r="E31" s="210">
        <f>SUM(F31:H31)</f>
        <v>0</v>
      </c>
      <c r="F31" s="211">
        <f>0</f>
        <v>0</v>
      </c>
      <c r="G31" s="211">
        <f>0</f>
        <v>0</v>
      </c>
      <c r="H31" s="316"/>
      <c r="I31" s="210">
        <f>SUM(J31:L31)</f>
        <v>0</v>
      </c>
      <c r="J31" s="211">
        <f>0</f>
        <v>0</v>
      </c>
      <c r="K31" s="211">
        <f>0</f>
        <v>0</v>
      </c>
      <c r="L31" s="316"/>
      <c r="M31" s="213">
        <f>0</f>
        <v>0</v>
      </c>
      <c r="N31" s="213">
        <f>0</f>
        <v>0</v>
      </c>
      <c r="O31" s="213">
        <f>0</f>
        <v>0</v>
      </c>
      <c r="P31" s="213">
        <f>0</f>
        <v>0</v>
      </c>
      <c r="Q31" s="221"/>
    </row>
    <row r="32" spans="1:17" ht="20.100000000000001" customHeight="1" x14ac:dyDescent="0.2">
      <c r="A32" s="187"/>
      <c r="B32" s="218" t="s">
        <v>197</v>
      </c>
      <c r="C32" s="324"/>
      <c r="D32" s="198"/>
      <c r="E32" s="201"/>
      <c r="F32" s="195"/>
      <c r="G32" s="195"/>
      <c r="H32" s="202"/>
      <c r="I32" s="201"/>
      <c r="J32" s="195"/>
      <c r="K32" s="195"/>
      <c r="L32" s="202"/>
      <c r="M32" s="203"/>
      <c r="N32" s="203"/>
      <c r="O32" s="203"/>
      <c r="P32" s="203"/>
      <c r="Q32" s="219"/>
    </row>
    <row r="33" spans="1:17" ht="37.5" customHeight="1" x14ac:dyDescent="0.2">
      <c r="A33" s="187"/>
      <c r="B33" s="208"/>
      <c r="C33" s="386" t="s">
        <v>366</v>
      </c>
      <c r="D33" s="197"/>
      <c r="E33" s="210">
        <f>SUM(F33:H33)</f>
        <v>0</v>
      </c>
      <c r="F33" s="211">
        <f>0</f>
        <v>0</v>
      </c>
      <c r="G33" s="211">
        <v>0</v>
      </c>
      <c r="H33" s="316"/>
      <c r="I33" s="210">
        <f>SUM(J33:L33)</f>
        <v>112000</v>
      </c>
      <c r="J33" s="211">
        <f>0</f>
        <v>0</v>
      </c>
      <c r="K33" s="211">
        <v>112000</v>
      </c>
      <c r="L33" s="316"/>
      <c r="M33" s="213">
        <f>112000+114240</f>
        <v>226240</v>
      </c>
      <c r="N33" s="213">
        <f>112000+114240+116525</f>
        <v>342765</v>
      </c>
      <c r="O33" s="213">
        <f>112000+114240+116525+118855</f>
        <v>461620</v>
      </c>
      <c r="P33" s="213">
        <f>112000+114240+116525+118855+121232</f>
        <v>582852</v>
      </c>
      <c r="Q33" s="389" t="s">
        <v>397</v>
      </c>
    </row>
    <row r="34" spans="1:17" ht="37.5" customHeight="1" x14ac:dyDescent="0.2">
      <c r="A34" s="187"/>
      <c r="B34" s="208"/>
      <c r="C34" s="387" t="s">
        <v>367</v>
      </c>
      <c r="D34" s="197"/>
      <c r="E34" s="210">
        <f>SUM(F34:H34)</f>
        <v>0</v>
      </c>
      <c r="F34" s="211">
        <f>0</f>
        <v>0</v>
      </c>
      <c r="G34" s="211">
        <f>0</f>
        <v>0</v>
      </c>
      <c r="H34" s="316"/>
      <c r="I34" s="210">
        <f>SUM(J34:L34)</f>
        <v>0</v>
      </c>
      <c r="J34" s="211">
        <f>0</f>
        <v>0</v>
      </c>
      <c r="K34" s="211">
        <f>0</f>
        <v>0</v>
      </c>
      <c r="L34" s="316"/>
      <c r="M34" s="213">
        <f>0</f>
        <v>0</v>
      </c>
      <c r="N34" s="213">
        <f>0</f>
        <v>0</v>
      </c>
      <c r="O34" s="213">
        <f>0</f>
        <v>0</v>
      </c>
      <c r="P34" s="213">
        <f>0</f>
        <v>0</v>
      </c>
      <c r="Q34" s="388" t="s">
        <v>398</v>
      </c>
    </row>
    <row r="35" spans="1:17" ht="37.5" customHeight="1" x14ac:dyDescent="0.2">
      <c r="A35" s="187"/>
      <c r="B35" s="208"/>
      <c r="C35" s="387" t="s">
        <v>368</v>
      </c>
      <c r="D35" s="197"/>
      <c r="E35" s="210">
        <f>SUM(F35:H35)</f>
        <v>0</v>
      </c>
      <c r="F35" s="211">
        <f>0</f>
        <v>0</v>
      </c>
      <c r="G35" s="211">
        <f>0</f>
        <v>0</v>
      </c>
      <c r="H35" s="316"/>
      <c r="I35" s="210">
        <f>SUM(J35:L35)</f>
        <v>61000</v>
      </c>
      <c r="J35" s="211">
        <f>0</f>
        <v>0</v>
      </c>
      <c r="K35" s="211">
        <v>61000</v>
      </c>
      <c r="L35" s="316"/>
      <c r="M35" s="213">
        <f>61000+61000</f>
        <v>122000</v>
      </c>
      <c r="N35" s="213">
        <f>61000+61000+61000</f>
        <v>183000</v>
      </c>
      <c r="O35" s="213">
        <f>61000+61000+61000+61000</f>
        <v>244000</v>
      </c>
      <c r="P35" s="213">
        <f>61000+61000+61000+61000+61000</f>
        <v>305000</v>
      </c>
      <c r="Q35" s="388" t="s">
        <v>399</v>
      </c>
    </row>
    <row r="36" spans="1:17" ht="37.5" customHeight="1" x14ac:dyDescent="0.2">
      <c r="A36" s="187"/>
      <c r="B36" s="208"/>
      <c r="C36" s="238" t="s">
        <v>189</v>
      </c>
      <c r="D36" s="197"/>
      <c r="E36" s="210">
        <f>SUM(F36:H36)</f>
        <v>0</v>
      </c>
      <c r="F36" s="211">
        <f>0</f>
        <v>0</v>
      </c>
      <c r="G36" s="211">
        <f>0</f>
        <v>0</v>
      </c>
      <c r="H36" s="316"/>
      <c r="I36" s="210">
        <f>SUM(J36:L36)</f>
        <v>0</v>
      </c>
      <c r="J36" s="211">
        <f>0</f>
        <v>0</v>
      </c>
      <c r="K36" s="211">
        <f>0</f>
        <v>0</v>
      </c>
      <c r="L36" s="316"/>
      <c r="M36" s="213">
        <f>0</f>
        <v>0</v>
      </c>
      <c r="N36" s="213">
        <f>0</f>
        <v>0</v>
      </c>
      <c r="O36" s="213">
        <f>0</f>
        <v>0</v>
      </c>
      <c r="P36" s="213">
        <f>0</f>
        <v>0</v>
      </c>
      <c r="Q36" s="221"/>
    </row>
    <row r="37" spans="1:17" ht="37.5" customHeight="1" x14ac:dyDescent="0.2">
      <c r="A37" s="187"/>
      <c r="B37" s="208"/>
      <c r="C37" s="238" t="s">
        <v>189</v>
      </c>
      <c r="D37" s="197"/>
      <c r="E37" s="210">
        <f>SUM(F37:H37)</f>
        <v>0</v>
      </c>
      <c r="F37" s="211">
        <f>0</f>
        <v>0</v>
      </c>
      <c r="G37" s="211">
        <f>0</f>
        <v>0</v>
      </c>
      <c r="H37" s="316"/>
      <c r="I37" s="210">
        <f>SUM(J37:L37)</f>
        <v>0</v>
      </c>
      <c r="J37" s="211">
        <f>0</f>
        <v>0</v>
      </c>
      <c r="K37" s="211">
        <f>0</f>
        <v>0</v>
      </c>
      <c r="L37" s="316"/>
      <c r="M37" s="213">
        <f>0</f>
        <v>0</v>
      </c>
      <c r="N37" s="213">
        <f>0</f>
        <v>0</v>
      </c>
      <c r="O37" s="213">
        <f>0</f>
        <v>0</v>
      </c>
      <c r="P37" s="213">
        <f>0</f>
        <v>0</v>
      </c>
      <c r="Q37" s="221"/>
    </row>
    <row r="38" spans="1:17" ht="20.100000000000001" customHeight="1" x14ac:dyDescent="0.2">
      <c r="A38" s="187"/>
      <c r="B38" s="218" t="s">
        <v>198</v>
      </c>
      <c r="C38" s="324"/>
      <c r="D38" s="198"/>
      <c r="E38" s="201"/>
      <c r="F38" s="195"/>
      <c r="G38" s="195"/>
      <c r="H38" s="202"/>
      <c r="I38" s="201"/>
      <c r="J38" s="195"/>
      <c r="K38" s="195"/>
      <c r="L38" s="202"/>
      <c r="M38" s="203"/>
      <c r="N38" s="203"/>
      <c r="O38" s="203"/>
      <c r="P38" s="203"/>
      <c r="Q38" s="219"/>
    </row>
    <row r="39" spans="1:17" ht="37.5" customHeight="1" x14ac:dyDescent="0.2">
      <c r="A39" s="187"/>
      <c r="B39" s="220"/>
      <c r="C39" s="387" t="s">
        <v>369</v>
      </c>
      <c r="D39" s="197"/>
      <c r="E39" s="210">
        <f>SUM(F39:H39)</f>
        <v>63000</v>
      </c>
      <c r="F39" s="211">
        <f>0</f>
        <v>0</v>
      </c>
      <c r="G39" s="211">
        <v>63000</v>
      </c>
      <c r="H39" s="316"/>
      <c r="I39" s="210">
        <f>SUM(J39:L39)</f>
        <v>127260</v>
      </c>
      <c r="J39" s="211">
        <f>0</f>
        <v>0</v>
      </c>
      <c r="K39" s="211">
        <f>63000+64260</f>
        <v>127260</v>
      </c>
      <c r="L39" s="316"/>
      <c r="M39" s="213">
        <f>63000+64260+65545</f>
        <v>192805</v>
      </c>
      <c r="N39" s="213">
        <f>63000+64260+65545+66856</f>
        <v>259661</v>
      </c>
      <c r="O39" s="213">
        <f>63000+64260+65545+66856+68193</f>
        <v>327854</v>
      </c>
      <c r="P39" s="213">
        <f>63000+64260+65545+66856+68193+69557</f>
        <v>397411</v>
      </c>
      <c r="Q39" s="388" t="s">
        <v>383</v>
      </c>
    </row>
    <row r="40" spans="1:17" ht="37.5" customHeight="1" x14ac:dyDescent="0.2">
      <c r="A40" s="187"/>
      <c r="B40" s="220"/>
      <c r="C40" s="387" t="s">
        <v>370</v>
      </c>
      <c r="D40" s="197"/>
      <c r="E40" s="210">
        <f t="shared" ref="E40:E42" si="2">SUM(F40:H40)</f>
        <v>63000</v>
      </c>
      <c r="F40" s="211">
        <f>0</f>
        <v>0</v>
      </c>
      <c r="G40" s="211">
        <v>63000</v>
      </c>
      <c r="H40" s="316"/>
      <c r="I40" s="210">
        <f t="shared" ref="I40:I42" si="3">SUM(J40:L40)</f>
        <v>127260</v>
      </c>
      <c r="J40" s="211">
        <f>0</f>
        <v>0</v>
      </c>
      <c r="K40" s="211">
        <f>63000+64260</f>
        <v>127260</v>
      </c>
      <c r="L40" s="316"/>
      <c r="M40" s="213">
        <f>63000+64260+65545</f>
        <v>192805</v>
      </c>
      <c r="N40" s="213">
        <f>63000+64260+65545+66856</f>
        <v>259661</v>
      </c>
      <c r="O40" s="213">
        <f>63000+64260+65545+66856+68193</f>
        <v>327854</v>
      </c>
      <c r="P40" s="213">
        <f>63000+64260+65545+66856+68193+69557</f>
        <v>397411</v>
      </c>
      <c r="Q40" s="388" t="s">
        <v>384</v>
      </c>
    </row>
    <row r="41" spans="1:17" ht="37.5" customHeight="1" x14ac:dyDescent="0.2">
      <c r="A41" s="187"/>
      <c r="B41" s="220"/>
      <c r="C41" s="387" t="s">
        <v>371</v>
      </c>
      <c r="D41" s="197"/>
      <c r="E41" s="210">
        <f t="shared" si="2"/>
        <v>0</v>
      </c>
      <c r="F41" s="211">
        <f>0</f>
        <v>0</v>
      </c>
      <c r="G41" s="211">
        <f>0</f>
        <v>0</v>
      </c>
      <c r="H41" s="316"/>
      <c r="I41" s="210">
        <f t="shared" si="3"/>
        <v>0</v>
      </c>
      <c r="J41" s="211">
        <f>0</f>
        <v>0</v>
      </c>
      <c r="K41" s="211">
        <f>0</f>
        <v>0</v>
      </c>
      <c r="L41" s="316"/>
      <c r="M41" s="213">
        <f>0</f>
        <v>0</v>
      </c>
      <c r="N41" s="213">
        <f>0</f>
        <v>0</v>
      </c>
      <c r="O41" s="213">
        <v>193777</v>
      </c>
      <c r="P41" s="213">
        <f>193777+197653</f>
        <v>391430</v>
      </c>
      <c r="Q41" s="388" t="s">
        <v>395</v>
      </c>
    </row>
    <row r="42" spans="1:17" ht="37.5" customHeight="1" x14ac:dyDescent="0.2">
      <c r="A42" s="187"/>
      <c r="B42" s="220"/>
      <c r="C42" s="387" t="s">
        <v>372</v>
      </c>
      <c r="D42" s="197"/>
      <c r="E42" s="210">
        <f t="shared" si="2"/>
        <v>169000</v>
      </c>
      <c r="F42" s="211">
        <f>0</f>
        <v>0</v>
      </c>
      <c r="G42" s="211">
        <v>169000</v>
      </c>
      <c r="H42" s="316"/>
      <c r="I42" s="210">
        <f t="shared" si="3"/>
        <v>341380</v>
      </c>
      <c r="J42" s="211">
        <f>0</f>
        <v>0</v>
      </c>
      <c r="K42" s="211">
        <f>169000+172380</f>
        <v>341380</v>
      </c>
      <c r="L42" s="316"/>
      <c r="M42" s="213">
        <f>169000+172380+175828</f>
        <v>517208</v>
      </c>
      <c r="N42" s="213">
        <f>169000+172380+175828+179344</f>
        <v>696552</v>
      </c>
      <c r="O42" s="213">
        <f>169000+172380+175828+179344+182931</f>
        <v>879483</v>
      </c>
      <c r="P42" s="213">
        <f>169000+172380+175828+179344+182931+186590</f>
        <v>1066073</v>
      </c>
      <c r="Q42" s="388" t="s">
        <v>394</v>
      </c>
    </row>
    <row r="43" spans="1:17" ht="37.5" customHeight="1" x14ac:dyDescent="0.2">
      <c r="A43" s="187"/>
      <c r="B43" s="220"/>
      <c r="C43" s="387" t="s">
        <v>373</v>
      </c>
      <c r="D43" s="197"/>
      <c r="E43" s="210">
        <f t="shared" ref="E43:E45" si="4">SUM(F43:H43)</f>
        <v>0</v>
      </c>
      <c r="F43" s="211">
        <f>0</f>
        <v>0</v>
      </c>
      <c r="G43" s="211">
        <f>0</f>
        <v>0</v>
      </c>
      <c r="H43" s="316"/>
      <c r="I43" s="210">
        <f t="shared" ref="I43:I45" si="5">SUM(J43:L43)</f>
        <v>0</v>
      </c>
      <c r="J43" s="211">
        <f>0</f>
        <v>0</v>
      </c>
      <c r="K43" s="211">
        <f>0</f>
        <v>0</v>
      </c>
      <c r="L43" s="316"/>
      <c r="M43" s="213">
        <f>0</f>
        <v>0</v>
      </c>
      <c r="N43" s="213">
        <f>0</f>
        <v>0</v>
      </c>
      <c r="O43" s="213">
        <v>165318</v>
      </c>
      <c r="P43" s="213">
        <f>165318+168624</f>
        <v>333942</v>
      </c>
      <c r="Q43" s="388" t="s">
        <v>396</v>
      </c>
    </row>
    <row r="44" spans="1:17" ht="37.5" customHeight="1" x14ac:dyDescent="0.2">
      <c r="A44" s="187"/>
      <c r="B44" s="220"/>
      <c r="C44" s="387" t="s">
        <v>374</v>
      </c>
      <c r="D44" s="197"/>
      <c r="E44" s="210">
        <f t="shared" si="4"/>
        <v>0</v>
      </c>
      <c r="F44" s="211">
        <f>0</f>
        <v>0</v>
      </c>
      <c r="G44" s="211">
        <f>0</f>
        <v>0</v>
      </c>
      <c r="H44" s="316"/>
      <c r="I44" s="210">
        <f t="shared" si="5"/>
        <v>0</v>
      </c>
      <c r="J44" s="211">
        <f>0</f>
        <v>0</v>
      </c>
      <c r="K44" s="211">
        <f>0</f>
        <v>0</v>
      </c>
      <c r="L44" s="316"/>
      <c r="M44" s="213">
        <f>0</f>
        <v>0</v>
      </c>
      <c r="N44" s="213">
        <f>0</f>
        <v>0</v>
      </c>
      <c r="O44" s="213">
        <f>0</f>
        <v>0</v>
      </c>
      <c r="P44" s="213">
        <f>0</f>
        <v>0</v>
      </c>
      <c r="Q44" s="388" t="s">
        <v>385</v>
      </c>
    </row>
    <row r="45" spans="1:17" ht="37.5" customHeight="1" x14ac:dyDescent="0.2">
      <c r="A45" s="187"/>
      <c r="B45" s="220"/>
      <c r="C45" s="387" t="s">
        <v>375</v>
      </c>
      <c r="D45" s="197"/>
      <c r="E45" s="210">
        <f t="shared" si="4"/>
        <v>0</v>
      </c>
      <c r="F45" s="211">
        <f>0</f>
        <v>0</v>
      </c>
      <c r="G45" s="211">
        <f>0</f>
        <v>0</v>
      </c>
      <c r="H45" s="316"/>
      <c r="I45" s="210">
        <f t="shared" si="5"/>
        <v>0</v>
      </c>
      <c r="J45" s="211">
        <f>0</f>
        <v>0</v>
      </c>
      <c r="K45" s="211">
        <f>0</f>
        <v>0</v>
      </c>
      <c r="L45" s="316"/>
      <c r="M45" s="213">
        <f>0</f>
        <v>0</v>
      </c>
      <c r="N45" s="213">
        <f>0</f>
        <v>0</v>
      </c>
      <c r="O45" s="213">
        <f>0</f>
        <v>0</v>
      </c>
      <c r="P45" s="213">
        <f>0</f>
        <v>0</v>
      </c>
      <c r="Q45" s="388" t="s">
        <v>386</v>
      </c>
    </row>
    <row r="46" spans="1:17" ht="37.5" customHeight="1" x14ac:dyDescent="0.2">
      <c r="A46" s="187"/>
      <c r="B46" s="220"/>
      <c r="C46" s="387" t="s">
        <v>376</v>
      </c>
      <c r="D46" s="197"/>
      <c r="E46" s="210">
        <f t="shared" ref="E46:E48" si="6">SUM(F46:H46)</f>
        <v>0</v>
      </c>
      <c r="F46" s="211">
        <f>0</f>
        <v>0</v>
      </c>
      <c r="G46" s="211">
        <f>0</f>
        <v>0</v>
      </c>
      <c r="H46" s="316"/>
      <c r="I46" s="210">
        <f t="shared" ref="I46:I48" si="7">SUM(J46:L46)</f>
        <v>0</v>
      </c>
      <c r="J46" s="211">
        <f>0</f>
        <v>0</v>
      </c>
      <c r="K46" s="211">
        <f>0</f>
        <v>0</v>
      </c>
      <c r="L46" s="316"/>
      <c r="M46" s="213">
        <f>0</f>
        <v>0</v>
      </c>
      <c r="N46" s="213">
        <f>0</f>
        <v>0</v>
      </c>
      <c r="O46" s="213">
        <f>0</f>
        <v>0</v>
      </c>
      <c r="P46" s="213">
        <f>0</f>
        <v>0</v>
      </c>
      <c r="Q46" s="388" t="s">
        <v>387</v>
      </c>
    </row>
    <row r="47" spans="1:17" ht="37.5" customHeight="1" x14ac:dyDescent="0.2">
      <c r="A47" s="187"/>
      <c r="B47" s="220"/>
      <c r="C47" s="387" t="s">
        <v>377</v>
      </c>
      <c r="D47" s="197"/>
      <c r="E47" s="210">
        <f t="shared" si="6"/>
        <v>0</v>
      </c>
      <c r="F47" s="211">
        <f>0</f>
        <v>0</v>
      </c>
      <c r="G47" s="211">
        <f>0</f>
        <v>0</v>
      </c>
      <c r="H47" s="316"/>
      <c r="I47" s="210">
        <f t="shared" si="7"/>
        <v>0</v>
      </c>
      <c r="J47" s="211">
        <f>0</f>
        <v>0</v>
      </c>
      <c r="K47" s="211">
        <f>0</f>
        <v>0</v>
      </c>
      <c r="L47" s="316"/>
      <c r="M47" s="213">
        <f>0</f>
        <v>0</v>
      </c>
      <c r="N47" s="213">
        <f>0</f>
        <v>0</v>
      </c>
      <c r="O47" s="213">
        <f>0</f>
        <v>0</v>
      </c>
      <c r="P47" s="213">
        <f>0</f>
        <v>0</v>
      </c>
      <c r="Q47" s="388" t="s">
        <v>388</v>
      </c>
    </row>
    <row r="48" spans="1:17" ht="37.5" customHeight="1" x14ac:dyDescent="0.2">
      <c r="A48" s="187"/>
      <c r="B48" s="220"/>
      <c r="C48" s="387" t="s">
        <v>378</v>
      </c>
      <c r="D48" s="197"/>
      <c r="E48" s="210">
        <f t="shared" si="6"/>
        <v>0</v>
      </c>
      <c r="F48" s="211">
        <f>0</f>
        <v>0</v>
      </c>
      <c r="G48" s="211">
        <f>0</f>
        <v>0</v>
      </c>
      <c r="H48" s="316"/>
      <c r="I48" s="210">
        <f t="shared" si="7"/>
        <v>0</v>
      </c>
      <c r="J48" s="211">
        <f>0</f>
        <v>0</v>
      </c>
      <c r="K48" s="211">
        <f>0</f>
        <v>0</v>
      </c>
      <c r="L48" s="316"/>
      <c r="M48" s="213">
        <f>0</f>
        <v>0</v>
      </c>
      <c r="N48" s="213">
        <f>0</f>
        <v>0</v>
      </c>
      <c r="O48" s="213">
        <f>0</f>
        <v>0</v>
      </c>
      <c r="P48" s="213">
        <f>0</f>
        <v>0</v>
      </c>
      <c r="Q48" s="388" t="s">
        <v>389</v>
      </c>
    </row>
    <row r="49" spans="1:17" ht="60" customHeight="1" x14ac:dyDescent="0.2">
      <c r="A49" s="187"/>
      <c r="B49" s="220"/>
      <c r="C49" s="387" t="s">
        <v>379</v>
      </c>
      <c r="D49" s="197"/>
      <c r="E49" s="210">
        <f>SUM(F49:H49)</f>
        <v>0</v>
      </c>
      <c r="F49" s="211">
        <f>0</f>
        <v>0</v>
      </c>
      <c r="G49" s="211">
        <f>0</f>
        <v>0</v>
      </c>
      <c r="H49" s="316"/>
      <c r="I49" s="210">
        <f>SUM(J49:L49)</f>
        <v>0</v>
      </c>
      <c r="J49" s="211">
        <f>0</f>
        <v>0</v>
      </c>
      <c r="K49" s="211">
        <f>0</f>
        <v>0</v>
      </c>
      <c r="L49" s="316"/>
      <c r="M49" s="213">
        <f>0</f>
        <v>0</v>
      </c>
      <c r="N49" s="213">
        <f>0</f>
        <v>0</v>
      </c>
      <c r="O49" s="213">
        <v>16000</v>
      </c>
      <c r="P49" s="213">
        <f>16000+16000</f>
        <v>32000</v>
      </c>
      <c r="Q49" s="388" t="s">
        <v>390</v>
      </c>
    </row>
    <row r="50" spans="1:17" ht="60" customHeight="1" x14ac:dyDescent="0.2">
      <c r="A50" s="187"/>
      <c r="B50" s="220"/>
      <c r="C50" s="387" t="s">
        <v>380</v>
      </c>
      <c r="D50" s="197"/>
      <c r="E50" s="210">
        <f>SUM(F50:H50)</f>
        <v>0</v>
      </c>
      <c r="F50" s="211">
        <f>0</f>
        <v>0</v>
      </c>
      <c r="G50" s="211">
        <f>0</f>
        <v>0</v>
      </c>
      <c r="H50" s="316"/>
      <c r="I50" s="210">
        <f>SUM(J50:L50)</f>
        <v>0</v>
      </c>
      <c r="J50" s="211">
        <f>0</f>
        <v>0</v>
      </c>
      <c r="K50" s="211">
        <f>0</f>
        <v>0</v>
      </c>
      <c r="L50" s="316"/>
      <c r="M50" s="213">
        <f>0</f>
        <v>0</v>
      </c>
      <c r="N50" s="213">
        <f>0</f>
        <v>0</v>
      </c>
      <c r="O50" s="213">
        <f>0</f>
        <v>0</v>
      </c>
      <c r="P50" s="213">
        <f>0</f>
        <v>0</v>
      </c>
      <c r="Q50" s="388" t="s">
        <v>391</v>
      </c>
    </row>
    <row r="51" spans="1:17" ht="60" customHeight="1" x14ac:dyDescent="0.2">
      <c r="A51" s="187"/>
      <c r="B51" s="220"/>
      <c r="C51" s="387" t="s">
        <v>381</v>
      </c>
      <c r="D51" s="197"/>
      <c r="E51" s="210">
        <f>SUM(F51:H51)</f>
        <v>0</v>
      </c>
      <c r="F51" s="211">
        <f>0</f>
        <v>0</v>
      </c>
      <c r="G51" s="211">
        <f>0</f>
        <v>0</v>
      </c>
      <c r="H51" s="316"/>
      <c r="I51" s="210">
        <f>SUM(J51:L51)</f>
        <v>0</v>
      </c>
      <c r="J51" s="211">
        <f>0</f>
        <v>0</v>
      </c>
      <c r="K51" s="211">
        <f>0</f>
        <v>0</v>
      </c>
      <c r="L51" s="316"/>
      <c r="M51" s="213">
        <f>0</f>
        <v>0</v>
      </c>
      <c r="N51" s="213">
        <f>0</f>
        <v>0</v>
      </c>
      <c r="O51" s="213">
        <f>0</f>
        <v>0</v>
      </c>
      <c r="P51" s="213">
        <f>0</f>
        <v>0</v>
      </c>
      <c r="Q51" s="388" t="s">
        <v>392</v>
      </c>
    </row>
    <row r="52" spans="1:17" ht="37.5" customHeight="1" x14ac:dyDescent="0.2">
      <c r="A52" s="187"/>
      <c r="B52" s="220"/>
      <c r="C52" s="386" t="s">
        <v>382</v>
      </c>
      <c r="D52" s="197"/>
      <c r="E52" s="210">
        <f>SUM(F52:H52)</f>
        <v>0</v>
      </c>
      <c r="F52" s="211">
        <f>0</f>
        <v>0</v>
      </c>
      <c r="G52" s="211">
        <f>0</f>
        <v>0</v>
      </c>
      <c r="H52" s="316"/>
      <c r="I52" s="210">
        <f>SUM(J52:L52)</f>
        <v>0</v>
      </c>
      <c r="J52" s="211">
        <f>0</f>
        <v>0</v>
      </c>
      <c r="K52" s="211">
        <f>0</f>
        <v>0</v>
      </c>
      <c r="L52" s="316"/>
      <c r="M52" s="213">
        <f>0</f>
        <v>0</v>
      </c>
      <c r="N52" s="213">
        <f>0</f>
        <v>0</v>
      </c>
      <c r="O52" s="213">
        <f>0</f>
        <v>0</v>
      </c>
      <c r="P52" s="213">
        <f>0</f>
        <v>0</v>
      </c>
      <c r="Q52" s="389" t="s">
        <v>393</v>
      </c>
    </row>
    <row r="53" spans="1:17" ht="20.100000000000001" customHeight="1" x14ac:dyDescent="0.2">
      <c r="A53" s="187"/>
      <c r="B53" s="218" t="s">
        <v>199</v>
      </c>
      <c r="C53" s="324"/>
      <c r="D53" s="198"/>
      <c r="E53" s="201"/>
      <c r="F53" s="195"/>
      <c r="G53" s="195"/>
      <c r="H53" s="202"/>
      <c r="I53" s="201"/>
      <c r="J53" s="195"/>
      <c r="K53" s="195"/>
      <c r="L53" s="202"/>
      <c r="M53" s="203"/>
      <c r="N53" s="203"/>
      <c r="O53" s="203"/>
      <c r="P53" s="203"/>
      <c r="Q53" s="219"/>
    </row>
    <row r="54" spans="1:17" ht="37.5" customHeight="1" x14ac:dyDescent="0.2">
      <c r="A54" s="187"/>
      <c r="B54" s="220"/>
      <c r="C54" s="238" t="s">
        <v>363</v>
      </c>
      <c r="D54" s="197"/>
      <c r="E54" s="210">
        <f>SUM(F54:H54)</f>
        <v>-380656</v>
      </c>
      <c r="F54" s="211">
        <f>0</f>
        <v>0</v>
      </c>
      <c r="G54" s="211">
        <v>-380656</v>
      </c>
      <c r="H54" s="316"/>
      <c r="I54" s="210">
        <f>SUM(J54:L54)</f>
        <v>-319075</v>
      </c>
      <c r="J54" s="211">
        <f>0</f>
        <v>0</v>
      </c>
      <c r="K54" s="211">
        <v>-319075</v>
      </c>
      <c r="L54" s="316"/>
      <c r="M54" s="213">
        <v>-707869</v>
      </c>
      <c r="N54" s="213">
        <v>-1054489</v>
      </c>
      <c r="O54" s="213">
        <v>-1309806</v>
      </c>
      <c r="P54" s="213">
        <v>-1473316</v>
      </c>
      <c r="Q54" s="221"/>
    </row>
    <row r="55" spans="1:17" ht="37.5" customHeight="1" x14ac:dyDescent="0.2">
      <c r="A55" s="187"/>
      <c r="B55" s="220"/>
      <c r="C55" s="238" t="s">
        <v>189</v>
      </c>
      <c r="D55" s="197"/>
      <c r="E55" s="210">
        <f>SUM(F55:H55)</f>
        <v>0</v>
      </c>
      <c r="F55" s="211">
        <f>0</f>
        <v>0</v>
      </c>
      <c r="G55" s="211">
        <f>0</f>
        <v>0</v>
      </c>
      <c r="H55" s="316"/>
      <c r="I55" s="210">
        <f>SUM(J55:L55)</f>
        <v>0</v>
      </c>
      <c r="J55" s="211">
        <f>0</f>
        <v>0</v>
      </c>
      <c r="K55" s="211">
        <f>0</f>
        <v>0</v>
      </c>
      <c r="L55" s="316"/>
      <c r="M55" s="213">
        <f>0</f>
        <v>0</v>
      </c>
      <c r="N55" s="213">
        <f>0</f>
        <v>0</v>
      </c>
      <c r="O55" s="213">
        <f>0</f>
        <v>0</v>
      </c>
      <c r="P55" s="213">
        <f>0</f>
        <v>0</v>
      </c>
      <c r="Q55" s="221"/>
    </row>
    <row r="56" spans="1:17" ht="37.5" customHeight="1" x14ac:dyDescent="0.2">
      <c r="A56" s="187"/>
      <c r="B56" s="220"/>
      <c r="C56" s="238" t="s">
        <v>189</v>
      </c>
      <c r="D56" s="197"/>
      <c r="E56" s="210">
        <f>SUM(F56:H56)</f>
        <v>0</v>
      </c>
      <c r="F56" s="211">
        <f>0</f>
        <v>0</v>
      </c>
      <c r="G56" s="211">
        <f>0</f>
        <v>0</v>
      </c>
      <c r="H56" s="316"/>
      <c r="I56" s="210">
        <f>SUM(J56:L56)</f>
        <v>0</v>
      </c>
      <c r="J56" s="211">
        <f>0</f>
        <v>0</v>
      </c>
      <c r="K56" s="211">
        <f>0</f>
        <v>0</v>
      </c>
      <c r="L56" s="316"/>
      <c r="M56" s="213">
        <f>0</f>
        <v>0</v>
      </c>
      <c r="N56" s="213">
        <f>0</f>
        <v>0</v>
      </c>
      <c r="O56" s="213">
        <f>0</f>
        <v>0</v>
      </c>
      <c r="P56" s="213">
        <f>0</f>
        <v>0</v>
      </c>
      <c r="Q56" s="221"/>
    </row>
    <row r="57" spans="1:17" ht="37.5" customHeight="1" x14ac:dyDescent="0.2">
      <c r="A57" s="187"/>
      <c r="B57" s="220"/>
      <c r="C57" s="238" t="s">
        <v>189</v>
      </c>
      <c r="D57" s="197"/>
      <c r="E57" s="210">
        <f>SUM(F57:H57)</f>
        <v>0</v>
      </c>
      <c r="F57" s="211">
        <f>0</f>
        <v>0</v>
      </c>
      <c r="G57" s="211">
        <f>0</f>
        <v>0</v>
      </c>
      <c r="H57" s="316"/>
      <c r="I57" s="210">
        <f>SUM(J57:L57)</f>
        <v>0</v>
      </c>
      <c r="J57" s="211">
        <f>0</f>
        <v>0</v>
      </c>
      <c r="K57" s="211">
        <f>0</f>
        <v>0</v>
      </c>
      <c r="L57" s="316"/>
      <c r="M57" s="213">
        <f>0</f>
        <v>0</v>
      </c>
      <c r="N57" s="213">
        <f>0</f>
        <v>0</v>
      </c>
      <c r="O57" s="213">
        <f>0</f>
        <v>0</v>
      </c>
      <c r="P57" s="213">
        <f>0</f>
        <v>0</v>
      </c>
      <c r="Q57" s="221"/>
    </row>
    <row r="58" spans="1:17" ht="37.5" customHeight="1" thickBot="1" x14ac:dyDescent="0.25">
      <c r="A58" s="187"/>
      <c r="B58" s="220"/>
      <c r="C58" s="238" t="s">
        <v>189</v>
      </c>
      <c r="D58" s="197"/>
      <c r="E58" s="210">
        <f>SUM(F58:H58)</f>
        <v>0</v>
      </c>
      <c r="F58" s="211">
        <f>0</f>
        <v>0</v>
      </c>
      <c r="G58" s="211">
        <f>0</f>
        <v>0</v>
      </c>
      <c r="H58" s="316"/>
      <c r="I58" s="210">
        <f>SUM(J58:L58)</f>
        <v>0</v>
      </c>
      <c r="J58" s="211">
        <f>0</f>
        <v>0</v>
      </c>
      <c r="K58" s="211">
        <f>0</f>
        <v>0</v>
      </c>
      <c r="L58" s="316"/>
      <c r="M58" s="213">
        <f>0</f>
        <v>0</v>
      </c>
      <c r="N58" s="213">
        <f>0</f>
        <v>0</v>
      </c>
      <c r="O58" s="213">
        <f>0</f>
        <v>0</v>
      </c>
      <c r="P58" s="213">
        <f>0</f>
        <v>0</v>
      </c>
      <c r="Q58" s="221"/>
    </row>
    <row r="59" spans="1:17" ht="15.75" x14ac:dyDescent="0.2">
      <c r="B59" s="209" t="s">
        <v>200</v>
      </c>
      <c r="C59" s="325"/>
      <c r="D59" s="222"/>
      <c r="E59" s="223">
        <f>SUM(E12:E58)</f>
        <v>1507996</v>
      </c>
      <c r="F59" s="224">
        <f>SUM(F12:F58)</f>
        <v>0</v>
      </c>
      <c r="G59" s="224">
        <f>SUM(G12:G58)</f>
        <v>988577</v>
      </c>
      <c r="H59" s="225">
        <f>SUM(H12:H58)</f>
        <v>519419</v>
      </c>
      <c r="I59" s="223">
        <f t="shared" ref="I59:P59" si="8">SUM(I12:I58)</f>
        <v>3814429</v>
      </c>
      <c r="J59" s="224">
        <f t="shared" si="8"/>
        <v>0</v>
      </c>
      <c r="K59" s="224">
        <f t="shared" si="8"/>
        <v>2852847</v>
      </c>
      <c r="L59" s="225">
        <f t="shared" si="8"/>
        <v>961582</v>
      </c>
      <c r="M59" s="226">
        <f t="shared" si="8"/>
        <v>5812443</v>
      </c>
      <c r="N59" s="226">
        <f t="shared" si="8"/>
        <v>7895584</v>
      </c>
      <c r="O59" s="226">
        <f t="shared" si="8"/>
        <v>10489096</v>
      </c>
      <c r="P59" s="226">
        <f t="shared" si="8"/>
        <v>12976615</v>
      </c>
      <c r="Q59" s="227"/>
    </row>
    <row r="60" spans="1:17" ht="15" x14ac:dyDescent="0.2">
      <c r="B60" s="182"/>
      <c r="C60" s="326"/>
      <c r="D60" s="228"/>
      <c r="E60" s="228"/>
      <c r="F60" s="228"/>
      <c r="G60" s="228"/>
    </row>
    <row r="61" spans="1:17" ht="15.75" x14ac:dyDescent="0.2">
      <c r="B61" s="228"/>
      <c r="C61" s="326"/>
      <c r="D61" s="228"/>
      <c r="E61" s="228"/>
      <c r="F61" s="228"/>
      <c r="G61" s="228"/>
      <c r="H61" s="228"/>
      <c r="I61" s="229"/>
      <c r="J61" s="230"/>
      <c r="K61" s="230"/>
      <c r="L61" s="189"/>
      <c r="M61" s="230"/>
      <c r="N61" s="230"/>
      <c r="O61" s="230"/>
    </row>
    <row r="62" spans="1:17" ht="66" customHeight="1" x14ac:dyDescent="0.2">
      <c r="B62" s="228"/>
      <c r="I62" s="460" t="s">
        <v>201</v>
      </c>
      <c r="J62" s="461"/>
      <c r="K62" s="314"/>
    </row>
    <row r="63" spans="1:17" ht="15.75" x14ac:dyDescent="0.2">
      <c r="I63" s="180" t="s">
        <v>168</v>
      </c>
      <c r="J63" s="181" t="s">
        <v>169</v>
      </c>
      <c r="K63" s="189"/>
    </row>
    <row r="64" spans="1:17" ht="15" x14ac:dyDescent="0.2">
      <c r="I64" s="231">
        <f>G59-('2-Revenue'!E24-'2-Revenue'!C24)</f>
        <v>92137</v>
      </c>
      <c r="J64" s="232">
        <f>K59-('2-Revenue'!G24-'2-Revenue'!C24)</f>
        <v>-449535</v>
      </c>
      <c r="K64" s="315"/>
    </row>
    <row r="65" spans="7:14" ht="87.75" customHeight="1" x14ac:dyDescent="0.2">
      <c r="G65" s="313"/>
      <c r="H65" s="312" t="s">
        <v>202</v>
      </c>
      <c r="I65" s="458" t="s">
        <v>364</v>
      </c>
      <c r="J65" s="459"/>
      <c r="K65" s="459"/>
      <c r="L65" s="459"/>
      <c r="M65" s="459"/>
      <c r="N65" s="459"/>
    </row>
  </sheetData>
  <sheetProtection insertRows="0" selectLockedCells="1" selectUnlockedCells="1"/>
  <mergeCells count="10">
    <mergeCell ref="I65:N65"/>
    <mergeCell ref="I62:J62"/>
    <mergeCell ref="B9:C9"/>
    <mergeCell ref="A2:J2"/>
    <mergeCell ref="A3:Q3"/>
    <mergeCell ref="B4:D4"/>
    <mergeCell ref="E9:H9"/>
    <mergeCell ref="I9:L9"/>
    <mergeCell ref="Q9:Q10"/>
    <mergeCell ref="E8:P8"/>
  </mergeCells>
  <phoneticPr fontId="10" type="noConversion"/>
  <pageMargins left="0.7" right="0.45" top="0.25" bottom="0.5" header="0" footer="0.15"/>
  <pageSetup paperSize="5" scale="41" fitToHeight="0" orientation="landscape" r:id="rId1"/>
  <headerFooter>
    <oddFooter>&amp;L2017 Six-Year Plan - Academic-Financial Plan&amp;C&amp;P of &amp;N&amp;RSCHEV - 5/23/17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716ED-6A89-4F98-9397-348A1198471C}">
  <dimension ref="A1:B22"/>
  <sheetViews>
    <sheetView workbookViewId="0">
      <selection activeCell="B15" sqref="B15"/>
    </sheetView>
  </sheetViews>
  <sheetFormatPr defaultColWidth="8.7109375" defaultRowHeight="15.75" x14ac:dyDescent="0.25"/>
  <cols>
    <col min="1" max="1" width="34.5703125" style="367" customWidth="1"/>
    <col min="2" max="16384" width="8.7109375" style="367"/>
  </cols>
  <sheetData>
    <row r="1" spans="1:2" x14ac:dyDescent="0.25">
      <c r="A1" s="374" t="s">
        <v>203</v>
      </c>
    </row>
    <row r="2" spans="1:2" x14ac:dyDescent="0.25">
      <c r="A2" s="366"/>
      <c r="B2" s="372" t="s">
        <v>204</v>
      </c>
    </row>
    <row r="3" spans="1:2" x14ac:dyDescent="0.25">
      <c r="A3" s="368" t="s">
        <v>205</v>
      </c>
      <c r="B3" s="373" t="s">
        <v>206</v>
      </c>
    </row>
    <row r="4" spans="1:2" x14ac:dyDescent="0.25">
      <c r="A4" s="369" t="s">
        <v>207</v>
      </c>
      <c r="B4" s="370">
        <v>0.60499999999999998</v>
      </c>
    </row>
    <row r="5" spans="1:2" x14ac:dyDescent="0.25">
      <c r="A5" s="369" t="s">
        <v>208</v>
      </c>
      <c r="B5" s="370">
        <v>0.497</v>
      </c>
    </row>
    <row r="6" spans="1:2" x14ac:dyDescent="0.25">
      <c r="A6" s="369" t="s">
        <v>209</v>
      </c>
      <c r="B6" s="370">
        <v>0.51400000000000001</v>
      </c>
    </row>
    <row r="7" spans="1:2" x14ac:dyDescent="0.25">
      <c r="A7" s="369" t="s">
        <v>210</v>
      </c>
      <c r="B7" s="370">
        <v>0.60299999999999998</v>
      </c>
    </row>
    <row r="8" spans="1:2" x14ac:dyDescent="0.25">
      <c r="A8" s="369" t="s">
        <v>211</v>
      </c>
      <c r="B8" s="370">
        <v>0.48199999999999998</v>
      </c>
    </row>
    <row r="9" spans="1:2" x14ac:dyDescent="0.25">
      <c r="A9" s="369" t="s">
        <v>212</v>
      </c>
      <c r="B9" s="370">
        <v>0.56299999999999994</v>
      </c>
    </row>
    <row r="10" spans="1:2" x14ac:dyDescent="0.25">
      <c r="A10" s="369" t="s">
        <v>213</v>
      </c>
      <c r="B10" s="370">
        <v>0.59</v>
      </c>
    </row>
    <row r="11" spans="1:2" x14ac:dyDescent="0.25">
      <c r="A11" s="369" t="s">
        <v>214</v>
      </c>
      <c r="B11" s="370">
        <v>0.59399999999999997</v>
      </c>
    </row>
    <row r="12" spans="1:2" x14ac:dyDescent="0.25">
      <c r="A12" s="369" t="s">
        <v>215</v>
      </c>
      <c r="B12" s="370">
        <v>0.313</v>
      </c>
    </row>
    <row r="13" spans="1:2" x14ac:dyDescent="0.25">
      <c r="A13" s="369" t="s">
        <v>216</v>
      </c>
      <c r="B13" s="370">
        <v>0.56899999999999995</v>
      </c>
    </row>
    <row r="14" spans="1:2" x14ac:dyDescent="0.25">
      <c r="A14" s="369" t="s">
        <v>217</v>
      </c>
      <c r="B14" s="370">
        <v>0.504</v>
      </c>
    </row>
    <row r="15" spans="1:2" x14ac:dyDescent="0.25">
      <c r="A15" s="369" t="s">
        <v>218</v>
      </c>
      <c r="B15" s="370">
        <v>0.42099999999999999</v>
      </c>
    </row>
    <row r="16" spans="1:2" x14ac:dyDescent="0.25">
      <c r="A16" s="369" t="s">
        <v>219</v>
      </c>
      <c r="B16" s="370">
        <v>0.47099999999999997</v>
      </c>
    </row>
    <row r="17" spans="1:2" x14ac:dyDescent="0.25">
      <c r="A17" s="369" t="s">
        <v>220</v>
      </c>
      <c r="B17" s="370">
        <v>0.38200000000000001</v>
      </c>
    </row>
    <row r="18" spans="1:2" x14ac:dyDescent="0.25">
      <c r="A18" s="369" t="s">
        <v>221</v>
      </c>
      <c r="B18" s="370">
        <v>0.38200000000000001</v>
      </c>
    </row>
    <row r="19" spans="1:2" x14ac:dyDescent="0.25">
      <c r="A19" s="369" t="s">
        <v>222</v>
      </c>
      <c r="B19" s="370">
        <v>0.62</v>
      </c>
    </row>
    <row r="20" spans="1:2" x14ac:dyDescent="0.25">
      <c r="A20" s="369" t="s">
        <v>223</v>
      </c>
      <c r="B20" s="370">
        <v>0.628</v>
      </c>
    </row>
    <row r="21" spans="1:2" x14ac:dyDescent="0.25">
      <c r="A21" s="369" t="s">
        <v>224</v>
      </c>
      <c r="B21" s="370">
        <v>0.48199999999999998</v>
      </c>
    </row>
    <row r="22" spans="1:2" x14ac:dyDescent="0.25">
      <c r="A22" s="371" t="s">
        <v>225</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E4898-45B5-455A-A178-0781664361E7}">
  <sheetPr>
    <tabColor theme="9" tint="0.79998168889431442"/>
    <pageSetUpPr fitToPage="1"/>
  </sheetPr>
  <dimension ref="A1:T40"/>
  <sheetViews>
    <sheetView zoomScaleNormal="100" workbookViewId="0">
      <selection activeCell="C28" sqref="C28"/>
    </sheetView>
  </sheetViews>
  <sheetFormatPr defaultRowHeight="12.75" x14ac:dyDescent="0.2"/>
  <cols>
    <col min="1" max="1" width="9.140625" style="165"/>
    <col min="2" max="2" width="47.42578125" customWidth="1"/>
    <col min="3" max="3" width="20.28515625" bestFit="1" customWidth="1"/>
    <col min="4" max="4" width="20.42578125" bestFit="1" customWidth="1"/>
    <col min="5" max="5" width="8.5703125" bestFit="1" customWidth="1"/>
    <col min="6" max="6" width="16.42578125" customWidth="1"/>
    <col min="7" max="7" width="7" customWidth="1"/>
    <col min="8" max="8" width="16.42578125" customWidth="1"/>
    <col min="9" max="9" width="7.7109375" customWidth="1"/>
    <col min="10" max="10" width="16.42578125" customWidth="1"/>
    <col min="11" max="11" width="7" customWidth="1"/>
    <col min="12" max="12" width="16.42578125" customWidth="1"/>
    <col min="13" max="13" width="8.5703125" bestFit="1" customWidth="1"/>
    <col min="14" max="14" width="16.42578125" customWidth="1"/>
    <col min="15" max="15" width="7" customWidth="1"/>
    <col min="16" max="16" width="16.42578125" customWidth="1"/>
    <col min="17" max="17" width="7" customWidth="1"/>
    <col min="18" max="18" width="13.85546875" bestFit="1" customWidth="1"/>
    <col min="19" max="19" width="15.7109375" bestFit="1" customWidth="1"/>
    <col min="20" max="20" width="9.140625" style="165"/>
  </cols>
  <sheetData>
    <row r="1" spans="1:20" ht="23.25" x14ac:dyDescent="0.2">
      <c r="A1" s="290" t="s">
        <v>226</v>
      </c>
      <c r="B1" s="291"/>
      <c r="C1" s="291"/>
      <c r="D1" s="291"/>
      <c r="E1" s="291"/>
      <c r="F1" s="291"/>
      <c r="G1" s="291"/>
      <c r="H1" s="292"/>
      <c r="I1" s="293"/>
      <c r="J1" s="293"/>
      <c r="K1" s="293"/>
      <c r="L1" s="293"/>
      <c r="M1" s="293"/>
      <c r="N1" s="293"/>
      <c r="O1" s="293"/>
      <c r="P1" s="293"/>
      <c r="Q1" s="293"/>
      <c r="R1" s="293"/>
      <c r="S1" s="293"/>
      <c r="T1" s="294"/>
    </row>
    <row r="2" spans="1:20" ht="23.25" x14ac:dyDescent="0.2">
      <c r="A2" s="479" t="str">
        <f>'Institution ID'!C3</f>
        <v>Virginia Military Institute</v>
      </c>
      <c r="B2" s="464"/>
      <c r="C2" s="464"/>
      <c r="D2" s="464"/>
      <c r="E2" s="464"/>
      <c r="F2" s="464"/>
      <c r="G2" s="464"/>
      <c r="H2" s="239"/>
      <c r="I2" s="165"/>
      <c r="J2" s="165"/>
      <c r="K2" s="165"/>
      <c r="L2" s="165"/>
      <c r="M2" s="165"/>
      <c r="N2" s="165"/>
      <c r="O2" s="165"/>
      <c r="P2" s="165"/>
      <c r="Q2" s="165"/>
      <c r="R2" s="165"/>
      <c r="S2" s="165"/>
      <c r="T2" s="295"/>
    </row>
    <row r="3" spans="1:20" ht="12.75" customHeight="1" x14ac:dyDescent="0.2">
      <c r="A3" s="481" t="s">
        <v>227</v>
      </c>
      <c r="B3" s="482"/>
      <c r="C3" s="482"/>
      <c r="D3" s="482"/>
      <c r="E3" s="482"/>
      <c r="F3" s="482"/>
      <c r="G3" s="482"/>
      <c r="H3" s="482"/>
      <c r="I3" s="482"/>
      <c r="J3" s="482"/>
      <c r="K3" s="482"/>
      <c r="L3" s="482"/>
      <c r="M3" s="482"/>
      <c r="N3" s="482"/>
      <c r="O3" s="482"/>
      <c r="P3" s="482"/>
      <c r="Q3" s="482"/>
      <c r="R3" s="482"/>
      <c r="S3" s="482"/>
      <c r="T3" s="295"/>
    </row>
    <row r="4" spans="1:20" ht="102.75" customHeight="1" x14ac:dyDescent="0.2">
      <c r="A4" s="481"/>
      <c r="B4" s="482"/>
      <c r="C4" s="482"/>
      <c r="D4" s="482"/>
      <c r="E4" s="482"/>
      <c r="F4" s="482"/>
      <c r="G4" s="482"/>
      <c r="H4" s="482"/>
      <c r="I4" s="482"/>
      <c r="J4" s="482"/>
      <c r="K4" s="482"/>
      <c r="L4" s="482"/>
      <c r="M4" s="482"/>
      <c r="N4" s="482"/>
      <c r="O4" s="482"/>
      <c r="P4" s="482"/>
      <c r="Q4" s="482"/>
      <c r="R4" s="482"/>
      <c r="S4" s="482"/>
      <c r="T4" s="295"/>
    </row>
    <row r="5" spans="1:20" x14ac:dyDescent="0.2">
      <c r="A5" s="296"/>
      <c r="B5" s="165"/>
      <c r="C5" s="165"/>
      <c r="D5" s="165"/>
      <c r="E5" s="165"/>
      <c r="F5" s="165"/>
      <c r="G5" s="165"/>
      <c r="H5" s="165"/>
      <c r="I5" s="165"/>
      <c r="J5" s="165"/>
      <c r="K5" s="165"/>
      <c r="L5" s="165"/>
      <c r="M5" s="165"/>
      <c r="N5" s="165"/>
      <c r="O5" s="165"/>
      <c r="P5" s="165"/>
      <c r="Q5" s="165"/>
      <c r="R5" s="165"/>
      <c r="S5" s="165"/>
      <c r="T5" s="295"/>
    </row>
    <row r="6" spans="1:20" s="165" customFormat="1" ht="13.5" thickBot="1" x14ac:dyDescent="0.25">
      <c r="A6" s="296"/>
      <c r="R6" s="480" t="s">
        <v>228</v>
      </c>
      <c r="S6" s="480"/>
      <c r="T6" s="295"/>
    </row>
    <row r="7" spans="1:20" s="1" customFormat="1" ht="12.75" customHeight="1" x14ac:dyDescent="0.2">
      <c r="A7" s="172"/>
      <c r="B7" s="173" t="s">
        <v>229</v>
      </c>
      <c r="C7" s="249" t="s">
        <v>90</v>
      </c>
      <c r="D7" s="249" t="s">
        <v>91</v>
      </c>
      <c r="E7" s="250" t="s">
        <v>99</v>
      </c>
      <c r="F7" s="251" t="s">
        <v>168</v>
      </c>
      <c r="G7" s="250" t="s">
        <v>99</v>
      </c>
      <c r="H7" s="251" t="s">
        <v>169</v>
      </c>
      <c r="I7" s="250" t="s">
        <v>99</v>
      </c>
      <c r="J7" s="252" t="s">
        <v>170</v>
      </c>
      <c r="K7" s="250" t="s">
        <v>99</v>
      </c>
      <c r="L7" s="252" t="s">
        <v>171</v>
      </c>
      <c r="M7" s="250" t="s">
        <v>99</v>
      </c>
      <c r="N7" s="252" t="s">
        <v>172</v>
      </c>
      <c r="O7" s="250" t="s">
        <v>99</v>
      </c>
      <c r="P7" s="252" t="s">
        <v>173</v>
      </c>
      <c r="Q7" s="250" t="s">
        <v>99</v>
      </c>
      <c r="R7" s="341" t="s">
        <v>230</v>
      </c>
      <c r="S7" s="331" t="s">
        <v>231</v>
      </c>
      <c r="T7" s="297"/>
    </row>
    <row r="8" spans="1:20" x14ac:dyDescent="0.2">
      <c r="A8" s="296"/>
      <c r="B8" s="179" t="s">
        <v>232</v>
      </c>
      <c r="C8" s="286">
        <f>'2-Revenue'!B25</f>
        <v>21677121</v>
      </c>
      <c r="D8" s="286">
        <f>'2-Revenue'!C25</f>
        <v>22216907</v>
      </c>
      <c r="E8" s="287">
        <f>IF(C8=0,"%",D8/C8-1)</f>
        <v>2.4901184986696245E-2</v>
      </c>
      <c r="F8" s="286">
        <f>D8+'4-Academic-Financial'!H59</f>
        <v>22736326</v>
      </c>
      <c r="G8" s="287">
        <f>IF(D8=0,"%",F8/D8-1)</f>
        <v>2.3379447013033738E-2</v>
      </c>
      <c r="H8" s="286">
        <f>D8+'4-Academic-Financial'!L59</f>
        <v>23178489</v>
      </c>
      <c r="I8" s="287">
        <f>IF(F8=0,"%",H8/F8-1)</f>
        <v>1.9447425234842219E-2</v>
      </c>
      <c r="J8" s="286">
        <f>IFERROR(D8+'4-Academic-Financial'!L6*SUM('4-Academic-Financial'!M12:M18,'4-Academic-Financial'!M22),0)</f>
        <v>23630313.557149023</v>
      </c>
      <c r="K8" s="287">
        <f>IF(H8=0,"%",J8/H8-1)</f>
        <v>1.9493270555687392E-2</v>
      </c>
      <c r="L8" s="286">
        <f>IFERROR(D8+'4-Academic-Financial'!L6*SUM('4-Academic-Financial'!N12:N18, '4-Academic-Financial'!N22),0)</f>
        <v>24092019.812260348</v>
      </c>
      <c r="M8" s="287">
        <f>IF(J8=0,"%",L8/J8-1)</f>
        <v>1.9538727405995049E-2</v>
      </c>
      <c r="N8" s="286">
        <f>IFERROR(D8+'4-Academic-Financial'!L6*SUM('4-Academic-Financial'!O12:O18, '4-Academic-Financial'!O22),0)</f>
        <v>24563828.790019989</v>
      </c>
      <c r="O8" s="287">
        <f>IF(L8=0,"%",N8/L8-1)</f>
        <v>1.9583620694165971E-2</v>
      </c>
      <c r="P8" s="286">
        <f>IFERROR(D8+'4-Academic-Financial'!L6*SUM('4-Academic-Financial'!P12:P18,'4-Academic-Financial'!P22),0)</f>
        <v>25045967.830104999</v>
      </c>
      <c r="Q8" s="287">
        <f>IF(N8=0,"%",P8/N8-1)</f>
        <v>1.9628008491937354E-2</v>
      </c>
      <c r="R8" s="342">
        <f>IF(C8=0,"%",P8/C8-1)</f>
        <v>0.15541025167064393</v>
      </c>
      <c r="S8" s="332">
        <f>IFERROR(R8/7,"%")</f>
        <v>2.2201464524377705E-2</v>
      </c>
      <c r="T8" s="295"/>
    </row>
    <row r="9" spans="1:20" x14ac:dyDescent="0.2">
      <c r="A9" s="296"/>
      <c r="B9" s="169" t="s">
        <v>233</v>
      </c>
      <c r="C9" s="235">
        <f>'3-Financial Aid'!I18</f>
        <v>1.8870789258683816E-2</v>
      </c>
      <c r="D9" s="235">
        <f>'3-Financial Aid'!I31</f>
        <v>1.9246044075719664E-2</v>
      </c>
      <c r="E9" s="267" t="str">
        <f>IF(OR(C9=0,C9="%"),"%",_xlfn.CONCAT(ROUND(D9-C9,5)*100,"pt"))</f>
        <v>0.038pt</v>
      </c>
      <c r="F9" s="235">
        <f>'3-Financial Aid'!I44</f>
        <v>2.0197575979690154E-2</v>
      </c>
      <c r="G9" s="267" t="str">
        <f>IF(OR(D9=0,D9="%"),"%",_xlfn.CONCAT(ROUND(F9-D9,5)*100,"pt"))</f>
        <v>0.095pt</v>
      </c>
      <c r="H9" s="235">
        <f>'3-Financial Aid'!I57</f>
        <v>1.9252245572157906E-2</v>
      </c>
      <c r="I9" s="267" t="str">
        <f>IF(OR(F9=0,F9="%"),"%",_xlfn.CONCAT(ROUND(H9-F9,5)*100,"pt"))</f>
        <v>-0.095pt</v>
      </c>
      <c r="J9" s="235">
        <f>'3-Financial Aid'!I70</f>
        <v>1.3268941812505607E-3</v>
      </c>
      <c r="K9" s="267" t="str">
        <f>IF(OR(H9=0,H9="%"),"%",_xlfn.CONCAT(ROUND(J9-H9,5)*100,"pt"))</f>
        <v>-1.793pt</v>
      </c>
      <c r="L9" s="235">
        <f>'3-Financial Aid'!I83</f>
        <v>1.2876006095707301E-3</v>
      </c>
      <c r="M9" s="267" t="str">
        <f>IF(OR(J9=0,J9="%"),"%",_xlfn.CONCAT(ROUND(L9-J9,5)*100,"pt"))</f>
        <v>-0.004pt</v>
      </c>
      <c r="N9" s="235">
        <f>'3-Financial Aid'!I96</f>
        <v>1.2610781936073828E-3</v>
      </c>
      <c r="O9" s="267" t="str">
        <f>IF(OR(L9=0,L9="%"),"%",_xlfn.CONCAT(ROUND(N9-L9,5)*100,"pt"))</f>
        <v>-0.003pt</v>
      </c>
      <c r="P9" s="235">
        <f>'3-Financial Aid'!I109</f>
        <v>1.2603020555854204E-3</v>
      </c>
      <c r="Q9" s="267" t="str">
        <f>IF(OR(N9=0,N9="%"),"%",_xlfn.CONCAT(ROUND(P9-N9,5)*100,"pt"))</f>
        <v>0pt</v>
      </c>
      <c r="R9" s="343" t="str">
        <f>IF(OR(C9=0,C9="%"),"%",_xlfn.CONCAT(ROUND(P9-C9,5)*100,"pt"))</f>
        <v>-1.761pt</v>
      </c>
      <c r="S9" s="334" t="str">
        <f>IFERROR(R9/7,"%")</f>
        <v>%</v>
      </c>
      <c r="T9" s="295"/>
    </row>
    <row r="10" spans="1:20" x14ac:dyDescent="0.2">
      <c r="A10" s="296"/>
      <c r="B10" s="170" t="s">
        <v>234</v>
      </c>
      <c r="C10" s="280">
        <f>'2-Revenue'!B24</f>
        <v>30649047</v>
      </c>
      <c r="D10" s="280">
        <f>'2-Revenue'!C24</f>
        <v>32091007</v>
      </c>
      <c r="E10" s="281">
        <f t="shared" ref="E10:E18" si="0">IF(C10=0,"%",D10/C10-1)</f>
        <v>4.7047466108815605E-2</v>
      </c>
      <c r="F10" s="280">
        <f>'2-Revenue'!E24</f>
        <v>32987447</v>
      </c>
      <c r="G10" s="281">
        <f>IF(D10=0,"%",F10/D10-1)</f>
        <v>2.7934305707514984E-2</v>
      </c>
      <c r="H10" s="280">
        <f>'2-Revenue'!G24</f>
        <v>35393389</v>
      </c>
      <c r="I10" s="281">
        <f>IF(F10=0,"%",H10/F10-1)</f>
        <v>7.2935077394743475E-2</v>
      </c>
      <c r="J10" s="280">
        <f>'2-Revenue'!I24</f>
        <v>37936236</v>
      </c>
      <c r="K10" s="281">
        <f>IF(H10=0,"%",J10/H10-1)</f>
        <v>7.1845253360733663E-2</v>
      </c>
      <c r="L10" s="280">
        <f>'2-Revenue'!K24</f>
        <v>39087041</v>
      </c>
      <c r="M10" s="281">
        <f>IF(J10=0,"%",L10/J10-1)</f>
        <v>3.0335244645778747E-2</v>
      </c>
      <c r="N10" s="280">
        <f>'2-Revenue'!M24</f>
        <v>39904630</v>
      </c>
      <c r="O10" s="281">
        <f>IF(L10=0,"%",N10/L10-1)</f>
        <v>2.0917137216910353E-2</v>
      </c>
      <c r="P10" s="280">
        <f>'2-Revenue'!O24</f>
        <v>39929968</v>
      </c>
      <c r="Q10" s="281">
        <f>IF(N10=0,"%",P10/N10-1)</f>
        <v>6.3496391270878583E-4</v>
      </c>
      <c r="R10" s="344">
        <f>IF(C10=0,"%",P10/C10-1)</f>
        <v>0.30281271062033355</v>
      </c>
      <c r="S10" s="333">
        <f>IFERROR(R10/7,"%")</f>
        <v>4.3258958660047649E-2</v>
      </c>
      <c r="T10" s="295"/>
    </row>
    <row r="11" spans="1:20" x14ac:dyDescent="0.2">
      <c r="A11" s="296"/>
      <c r="B11" s="169" t="s">
        <v>235</v>
      </c>
      <c r="C11" s="275"/>
      <c r="D11" s="240">
        <f>D10-C10</f>
        <v>1441960</v>
      </c>
      <c r="E11" s="266"/>
      <c r="F11" s="240">
        <f>F10-D10</f>
        <v>896440</v>
      </c>
      <c r="G11" s="266">
        <f>IF(D11=0,"%",F11/D11-1)</f>
        <v>-0.378318399955616</v>
      </c>
      <c r="H11" s="240">
        <f>H10-F10</f>
        <v>2405942</v>
      </c>
      <c r="I11" s="266">
        <f>IF(F11=0,"%",H11/F11-1)</f>
        <v>1.6838851456873858</v>
      </c>
      <c r="J11" s="240">
        <f>J10-H10</f>
        <v>2542847</v>
      </c>
      <c r="K11" s="266">
        <f>IF(H11=0,"%",J11/H11-1)</f>
        <v>5.6902867982686178E-2</v>
      </c>
      <c r="L11" s="240">
        <f>L10-J10</f>
        <v>1150805</v>
      </c>
      <c r="M11" s="266">
        <f>IF(J11=0,"%",L11/J11-1)</f>
        <v>-0.54743443077778564</v>
      </c>
      <c r="N11" s="240">
        <f>N10-L10</f>
        <v>817589</v>
      </c>
      <c r="O11" s="266">
        <f>IF(L11=0,"%",N11/L11-1)</f>
        <v>-0.28955035822750164</v>
      </c>
      <c r="P11" s="240">
        <f>P10-N10</f>
        <v>25338</v>
      </c>
      <c r="Q11" s="266">
        <f>IF(N11=0,"%",P11/N11-1)</f>
        <v>-0.96900887854410955</v>
      </c>
      <c r="R11" s="345">
        <f>IF(D11=0,"%",P11/D11-1)</f>
        <v>-0.98242808399678216</v>
      </c>
      <c r="S11" s="270"/>
      <c r="T11" s="295"/>
    </row>
    <row r="12" spans="1:20" x14ac:dyDescent="0.2">
      <c r="A12" s="296"/>
      <c r="B12" s="169" t="s">
        <v>236</v>
      </c>
      <c r="C12" s="275">
        <f>C10+C8</f>
        <v>52326168</v>
      </c>
      <c r="D12" s="275">
        <f>D10+D8</f>
        <v>54307914</v>
      </c>
      <c r="E12" s="268">
        <f>IF(C12=0,"%",D12/C12-1)</f>
        <v>3.7872943419055671E-2</v>
      </c>
      <c r="F12" s="275">
        <f>F10+F8</f>
        <v>55723773</v>
      </c>
      <c r="G12" s="268">
        <f>IF(D12=0,"%",F12/D12-1)</f>
        <v>2.6070951648041518E-2</v>
      </c>
      <c r="H12" s="275">
        <f>H10+H8</f>
        <v>58571878</v>
      </c>
      <c r="I12" s="268">
        <f>IF(F12=0,"%",H12/F12-1)</f>
        <v>5.1111129894237495E-2</v>
      </c>
      <c r="J12" s="275">
        <f>J10+J8</f>
        <v>61566549.557149023</v>
      </c>
      <c r="K12" s="268">
        <f>IF(H12=0,"%",J12/H12-1)</f>
        <v>5.1128146465595936E-2</v>
      </c>
      <c r="L12" s="275">
        <f>L10+L8</f>
        <v>63179060.812260345</v>
      </c>
      <c r="M12" s="268">
        <f>IF(J12=0,"%",L12/J12-1)</f>
        <v>2.6191353368187675E-2</v>
      </c>
      <c r="N12" s="275">
        <f>N10+N8</f>
        <v>64468458.790019989</v>
      </c>
      <c r="O12" s="268">
        <f>IF(L12=0,"%",N12/L12-1)</f>
        <v>2.0408628447186938E-2</v>
      </c>
      <c r="P12" s="275">
        <f>P10+P8</f>
        <v>64975935.830104999</v>
      </c>
      <c r="Q12" s="268">
        <f>IF(N12=0,"%",P12/N12-1)</f>
        <v>7.8717104396417437E-3</v>
      </c>
      <c r="R12" s="345">
        <f>IF(D12=0,"%",P12/D12-1)</f>
        <v>0.19643586071276831</v>
      </c>
      <c r="S12" s="270">
        <f>IFERROR(R12/7,"%")</f>
        <v>2.8062265816109759E-2</v>
      </c>
      <c r="T12" s="295"/>
    </row>
    <row r="13" spans="1:20" x14ac:dyDescent="0.2">
      <c r="A13" s="296"/>
      <c r="B13" s="171" t="s">
        <v>237</v>
      </c>
      <c r="C13" s="288">
        <f>IF(C8+C10=0,"%",C8/(C8+C10))</f>
        <v>0.41426922376582209</v>
      </c>
      <c r="D13" s="288">
        <f>IF(D8+D10=0,"%",D8/(D8+D10))</f>
        <v>0.40909151841111041</v>
      </c>
      <c r="E13" s="289" t="str">
        <f>IF(OR(C13=0,C13="%"),"%",_xlfn.CONCAT(ROUND(D13-C13,3)*100,"pt"))</f>
        <v>-0.5pt</v>
      </c>
      <c r="F13" s="288">
        <f>IF(F8+F10=0,"%",F8/(F8+F10))</f>
        <v>0.40801842330382043</v>
      </c>
      <c r="G13" s="289" t="str">
        <f>IF(OR(D13=0,D13="%"),"%",_xlfn.CONCAT(ROUND(F13-D13,3)*100,"pt"))</f>
        <v>-0.1pt</v>
      </c>
      <c r="H13" s="288">
        <f>IF(H8+H10=0,"%",H8/(H8+H10))</f>
        <v>0.39572726351714382</v>
      </c>
      <c r="I13" s="289" t="str">
        <f>IF(OR(F13=0,F13="%"),"%",_xlfn.CONCAT(ROUND(H13-F13,3)*100,"pt"))</f>
        <v>-1.2pt</v>
      </c>
      <c r="J13" s="288">
        <f>IF(J8+J10=0,"%",J8/(J8+J10))</f>
        <v>0.38381740940694153</v>
      </c>
      <c r="K13" s="289" t="str">
        <f>IF(OR(H13=0,H13="%"),"%",_xlfn.CONCAT(ROUND(J13-H13,3)*100,"pt"))</f>
        <v>-1.2pt</v>
      </c>
      <c r="L13" s="288">
        <f>IF(L8+L10=0,"%",L8/(L8+L10))</f>
        <v>0.38132918569098323</v>
      </c>
      <c r="M13" s="289" t="str">
        <f>IF(OR(J13=0,J13="%"),"%",_xlfn.CONCAT(ROUND(L13-J13,3)*100,"pt"))</f>
        <v>-0.2pt</v>
      </c>
      <c r="N13" s="288">
        <f>IF(N8+N10=0,"%",N8/(N8+N10))</f>
        <v>0.38102087828757869</v>
      </c>
      <c r="O13" s="289" t="str">
        <f>IF(OR(L13=0,L13="%"),"%",_xlfn.CONCAT(ROUND(N13-L13,3)*100,"pt"))</f>
        <v>0pt</v>
      </c>
      <c r="P13" s="288">
        <f>IF(P8+P10=0,"%",P8/(P8+P10))</f>
        <v>0.38546528818905545</v>
      </c>
      <c r="Q13" s="289" t="str">
        <f>IF(OR(N13=0,N13="%"),"%",_xlfn.CONCAT(ROUND(P13-N13,3)*100,"pt"))</f>
        <v>0.4pt</v>
      </c>
      <c r="R13" s="346" t="str">
        <f>IF(OR(C13=0,C13="%"),"%",_xlfn.CONCAT(ROUND(P13-C13,3)*100,"pt"))</f>
        <v>-2.9pt</v>
      </c>
      <c r="S13" s="334" t="str">
        <f>IFERROR(R13/7,"%")</f>
        <v>%</v>
      </c>
      <c r="T13" s="295"/>
    </row>
    <row r="14" spans="1:20" x14ac:dyDescent="0.2">
      <c r="A14" s="296"/>
      <c r="B14" s="170" t="s">
        <v>238</v>
      </c>
      <c r="C14" s="280">
        <f>'4-Academic-Financial'!D5</f>
        <v>47605000</v>
      </c>
      <c r="D14" s="280">
        <f>'4-Academic-Financial'!D6</f>
        <v>52601000</v>
      </c>
      <c r="E14" s="281">
        <f t="shared" si="0"/>
        <v>0.10494695935300924</v>
      </c>
      <c r="F14" s="280">
        <f>$D$14+F15-F16</f>
        <v>54108996</v>
      </c>
      <c r="G14" s="281">
        <f>IF(D14=0,"%",F14/D14-1)</f>
        <v>2.8668580445238678E-2</v>
      </c>
      <c r="H14" s="280">
        <f>$D$14+H15-H16</f>
        <v>56415429</v>
      </c>
      <c r="I14" s="281">
        <f>IF(F14=0,"%",H14/F14-1)</f>
        <v>4.2625684645858142E-2</v>
      </c>
      <c r="J14" s="280">
        <f>$D$14+J15-J16</f>
        <v>58413443</v>
      </c>
      <c r="K14" s="281">
        <f>IF(H14=0,"%",J14/H14-1)</f>
        <v>3.5416091580195097E-2</v>
      </c>
      <c r="L14" s="280">
        <f>$D$14+L15-L16</f>
        <v>60496584</v>
      </c>
      <c r="M14" s="281">
        <f>IF(J14=0,"%",L14/J14-1)</f>
        <v>3.5662013622446365E-2</v>
      </c>
      <c r="N14" s="280">
        <f>$D$14+N15-N16</f>
        <v>63090096</v>
      </c>
      <c r="O14" s="281">
        <f>IF(L14=0,"%",N14/L14-1)</f>
        <v>4.2870387524690745E-2</v>
      </c>
      <c r="P14" s="280">
        <f>$D$14+P15-P16</f>
        <v>65577615</v>
      </c>
      <c r="Q14" s="281">
        <f>IF(N14=0,"%",P14/N14-1)</f>
        <v>3.9428042715293987E-2</v>
      </c>
      <c r="R14" s="344">
        <f>IF(C14=0,"%",P14/C14-1)</f>
        <v>0.37753628820502039</v>
      </c>
      <c r="S14" s="333">
        <f>IFERROR(R14/7,"%")</f>
        <v>5.3933755457860055E-2</v>
      </c>
      <c r="T14" s="295"/>
    </row>
    <row r="15" spans="1:20" x14ac:dyDescent="0.2">
      <c r="A15" s="296"/>
      <c r="B15" s="169" t="s">
        <v>239</v>
      </c>
      <c r="C15" s="275"/>
      <c r="D15" s="240"/>
      <c r="E15" s="266"/>
      <c r="F15" s="240">
        <f>'4-Academic-Financial'!E59</f>
        <v>1507996</v>
      </c>
      <c r="G15" s="266"/>
      <c r="H15" s="240">
        <f>'4-Academic-Financial'!I59</f>
        <v>3814429</v>
      </c>
      <c r="I15" s="266">
        <f>IF(F15=0,"%",H15/F15-1)</f>
        <v>1.5294689110581197</v>
      </c>
      <c r="J15" s="240">
        <f>'4-Academic-Financial'!M59</f>
        <v>5812443</v>
      </c>
      <c r="K15" s="266">
        <f>IF(H15=0,"%",J15/H15-1)</f>
        <v>0.52380421814116862</v>
      </c>
      <c r="L15" s="240">
        <f>'4-Academic-Financial'!N59</f>
        <v>7895584</v>
      </c>
      <c r="M15" s="266">
        <f>IF(J15=0,"%",L15/J15-1)</f>
        <v>0.35839336402954824</v>
      </c>
      <c r="N15" s="240">
        <f>'4-Academic-Financial'!O59</f>
        <v>10489096</v>
      </c>
      <c r="O15" s="266">
        <f>IF(L15=0,"%",N15/L15-1)</f>
        <v>0.32847627230613963</v>
      </c>
      <c r="P15" s="240">
        <f>'4-Academic-Financial'!P59</f>
        <v>12976615</v>
      </c>
      <c r="Q15" s="266">
        <f>IF(N15=0,"%",P15/N15-1)</f>
        <v>0.23715284901577793</v>
      </c>
      <c r="R15" s="345">
        <f>IF(F15=0,"%",P15/F15-1)</f>
        <v>7.6052051862206529</v>
      </c>
      <c r="S15" s="270"/>
      <c r="T15" s="295"/>
    </row>
    <row r="16" spans="1:20" x14ac:dyDescent="0.2">
      <c r="A16" s="296"/>
      <c r="B16" s="171" t="s">
        <v>240</v>
      </c>
      <c r="C16" s="282"/>
      <c r="D16" s="283"/>
      <c r="E16" s="284"/>
      <c r="F16" s="285">
        <f>'4-Academic-Financial'!F59</f>
        <v>0</v>
      </c>
      <c r="G16" s="284"/>
      <c r="H16" s="285">
        <f>'4-Academic-Financial'!J59</f>
        <v>0</v>
      </c>
      <c r="I16" s="284" t="str">
        <f>IF(F16=0,"%",H16/F16-1)</f>
        <v>%</v>
      </c>
      <c r="J16" s="285">
        <f>H16</f>
        <v>0</v>
      </c>
      <c r="K16" s="284"/>
      <c r="L16" s="285">
        <f>J16</f>
        <v>0</v>
      </c>
      <c r="M16" s="284"/>
      <c r="N16" s="285">
        <f>L16</f>
        <v>0</v>
      </c>
      <c r="O16" s="284"/>
      <c r="P16" s="285">
        <f>N16</f>
        <v>0</v>
      </c>
      <c r="Q16" s="284"/>
      <c r="R16" s="347"/>
      <c r="S16" s="334"/>
      <c r="T16" s="295"/>
    </row>
    <row r="17" spans="1:20" x14ac:dyDescent="0.2">
      <c r="A17" s="296"/>
      <c r="B17" s="253" t="s">
        <v>241</v>
      </c>
      <c r="C17" s="233">
        <f>C12-C14</f>
        <v>4721168</v>
      </c>
      <c r="D17" s="233">
        <f>D12-D14</f>
        <v>1706914</v>
      </c>
      <c r="E17" s="241">
        <f t="shared" si="0"/>
        <v>-0.63845514499801737</v>
      </c>
      <c r="F17" s="233">
        <f>F12-F14</f>
        <v>1614777</v>
      </c>
      <c r="G17" s="241">
        <f>IF(D17=0,"%",F17/D17-1)</f>
        <v>-5.3978700742978281E-2</v>
      </c>
      <c r="H17" s="233">
        <f>H12-H14</f>
        <v>2156449</v>
      </c>
      <c r="I17" s="242">
        <f>IF(F17=0,"%",H17/F17-1)</f>
        <v>0.33544693787439384</v>
      </c>
      <c r="J17" s="233">
        <f>J12-J14</f>
        <v>3153106.5571490228</v>
      </c>
      <c r="K17" s="242">
        <f>IF(H17=0,"%",J17/H17-1)</f>
        <v>0.46217534342292477</v>
      </c>
      <c r="L17" s="233">
        <f>L12-L14</f>
        <v>2682476.8122603446</v>
      </c>
      <c r="M17" s="242">
        <f>IF(J17=0,"%",L17/J17-1)</f>
        <v>-0.14925906763969699</v>
      </c>
      <c r="N17" s="233">
        <f>N12-N14</f>
        <v>1378362.790019989</v>
      </c>
      <c r="O17" s="242">
        <f>IF(L17=0,"%",N17/L17-1)</f>
        <v>-0.4861604082763592</v>
      </c>
      <c r="P17" s="233">
        <f>P12-P14</f>
        <v>-601679.16989500076</v>
      </c>
      <c r="Q17" s="242">
        <f>IF(N17=0,"%",P17/N17-1)</f>
        <v>-1.4365172756051221</v>
      </c>
      <c r="R17" s="348">
        <f>IF(F17=0,"%",P17/F17-1)</f>
        <v>-1.3726082114713059</v>
      </c>
      <c r="S17" s="335">
        <f>IFERROR(R17/7,"%")</f>
        <v>-0.19608688735304369</v>
      </c>
      <c r="T17" s="295"/>
    </row>
    <row r="18" spans="1:20" ht="13.5" thickBot="1" x14ac:dyDescent="0.25">
      <c r="A18" s="296"/>
      <c r="B18" s="254" t="s">
        <v>242</v>
      </c>
      <c r="C18" s="255">
        <f>C17</f>
        <v>4721168</v>
      </c>
      <c r="D18" s="256">
        <f>D17-C17</f>
        <v>-3014254</v>
      </c>
      <c r="E18" s="257">
        <f t="shared" si="0"/>
        <v>-1.6384551449980176</v>
      </c>
      <c r="F18" s="258">
        <f>F17-D17</f>
        <v>-92137</v>
      </c>
      <c r="G18" s="257">
        <f>IF(D18=0,"%",F18/D18-1)</f>
        <v>-0.96943290114237224</v>
      </c>
      <c r="H18" s="258">
        <f>H17-F17</f>
        <v>541672</v>
      </c>
      <c r="I18" s="259">
        <f>IF(F18=0,"%",H18/F18-1)</f>
        <v>-6.8789845556074107</v>
      </c>
      <c r="J18" s="258">
        <f>J17-H17</f>
        <v>996657.55714902282</v>
      </c>
      <c r="K18" s="259">
        <f>IF(H18=0,"%",J18/H18-1)</f>
        <v>0.8399650658498552</v>
      </c>
      <c r="L18" s="258">
        <f>L17-J17</f>
        <v>-470629.74488867819</v>
      </c>
      <c r="M18" s="259">
        <f>IF(J18=0,"%",L18/J18-1)</f>
        <v>-1.4722080733877467</v>
      </c>
      <c r="N18" s="258">
        <f>N17-L17</f>
        <v>-1304114.0222403556</v>
      </c>
      <c r="O18" s="259">
        <f>IF(L18=0,"%",N18/L18-1)</f>
        <v>1.7709978733894691</v>
      </c>
      <c r="P18" s="258">
        <f>P17-N17</f>
        <v>-1980041.9599149898</v>
      </c>
      <c r="Q18" s="259">
        <f>IF(N18=0,"%",P18/N18-1)</f>
        <v>0.51830432473492483</v>
      </c>
      <c r="R18" s="349">
        <f>IF(F18=0,"%",P18/F18-1)</f>
        <v>20.490193515254347</v>
      </c>
      <c r="S18" s="336">
        <f>IFERROR(R18/7,"%")</f>
        <v>2.9271705021791923</v>
      </c>
      <c r="T18" s="295"/>
    </row>
    <row r="19" spans="1:20" x14ac:dyDescent="0.2">
      <c r="A19" s="296"/>
      <c r="B19" s="165"/>
      <c r="C19" s="165"/>
      <c r="D19" s="165"/>
      <c r="E19" s="165"/>
      <c r="F19" s="165"/>
      <c r="G19" s="165"/>
      <c r="H19" s="165"/>
      <c r="I19" s="165"/>
      <c r="J19" s="165"/>
      <c r="K19" s="165"/>
      <c r="L19" s="165"/>
      <c r="M19" s="165"/>
      <c r="N19" s="165"/>
      <c r="O19" s="165"/>
      <c r="P19" s="165"/>
      <c r="Q19" s="165"/>
      <c r="R19" s="165"/>
      <c r="S19" s="165"/>
      <c r="T19" s="295"/>
    </row>
    <row r="20" spans="1:20" ht="13.5" thickBot="1" x14ac:dyDescent="0.25">
      <c r="A20" s="296"/>
      <c r="B20" s="165"/>
      <c r="C20" s="165"/>
      <c r="D20" s="165"/>
      <c r="E20" s="165"/>
      <c r="F20" s="165"/>
      <c r="G20" s="165"/>
      <c r="H20" s="165"/>
      <c r="I20" s="165"/>
      <c r="J20" s="243"/>
      <c r="K20" s="165"/>
      <c r="L20" s="165"/>
      <c r="M20" s="165"/>
      <c r="N20" s="165"/>
      <c r="O20" s="165"/>
      <c r="P20" s="165"/>
      <c r="Q20" s="165"/>
      <c r="R20" s="165"/>
      <c r="S20" s="165"/>
      <c r="T20" s="295"/>
    </row>
    <row r="21" spans="1:20" s="165" customFormat="1" ht="13.5" thickBot="1" x14ac:dyDescent="0.25">
      <c r="A21" s="296"/>
      <c r="B21" s="300" t="s">
        <v>243</v>
      </c>
      <c r="C21" s="301"/>
      <c r="D21" s="301"/>
      <c r="E21" s="301"/>
      <c r="F21" s="301"/>
      <c r="G21" s="301"/>
      <c r="H21" s="301"/>
      <c r="I21" s="301"/>
      <c r="J21" s="301"/>
      <c r="K21" s="301"/>
      <c r="L21" s="301"/>
      <c r="M21" s="301"/>
      <c r="N21" s="301"/>
      <c r="O21" s="301"/>
      <c r="P21" s="301"/>
      <c r="Q21" s="301"/>
      <c r="R21" s="350"/>
      <c r="S21" s="337"/>
      <c r="T21" s="295"/>
    </row>
    <row r="22" spans="1:20" s="165" customFormat="1" x14ac:dyDescent="0.2">
      <c r="A22" s="296"/>
      <c r="B22" s="168"/>
      <c r="C22" s="244" t="s">
        <v>90</v>
      </c>
      <c r="D22" s="244" t="s">
        <v>91</v>
      </c>
      <c r="E22" s="245" t="s">
        <v>99</v>
      </c>
      <c r="F22" s="246" t="s">
        <v>168</v>
      </c>
      <c r="G22" s="245" t="s">
        <v>99</v>
      </c>
      <c r="H22" s="246" t="s">
        <v>169</v>
      </c>
      <c r="I22" s="245" t="s">
        <v>99</v>
      </c>
      <c r="J22" s="247" t="s">
        <v>170</v>
      </c>
      <c r="K22" s="245" t="s">
        <v>99</v>
      </c>
      <c r="L22" s="247" t="s">
        <v>171</v>
      </c>
      <c r="M22" s="245" t="s">
        <v>99</v>
      </c>
      <c r="N22" s="247" t="s">
        <v>172</v>
      </c>
      <c r="O22" s="245" t="s">
        <v>99</v>
      </c>
      <c r="P22" s="247" t="s">
        <v>173</v>
      </c>
      <c r="Q22" s="245" t="s">
        <v>99</v>
      </c>
      <c r="R22" s="351" t="s">
        <v>230</v>
      </c>
      <c r="S22" s="338" t="s">
        <v>231</v>
      </c>
      <c r="T22" s="295"/>
    </row>
    <row r="23" spans="1:20" s="165" customFormat="1" x14ac:dyDescent="0.2">
      <c r="A23" s="296"/>
      <c r="B23" s="272" t="s">
        <v>244</v>
      </c>
      <c r="C23" s="273">
        <f>C13</f>
        <v>0.41426922376582209</v>
      </c>
      <c r="D23" s="273">
        <f>C23</f>
        <v>0.41426922376582209</v>
      </c>
      <c r="E23" s="269" t="str">
        <f>IF(OR(C23=0,C23="%"),"%",_xlfn.CONCAT(ROUND(D23-C23,3)*100,"pt"))</f>
        <v>0pt</v>
      </c>
      <c r="F23" s="273">
        <f>D23</f>
        <v>0.41426922376582209</v>
      </c>
      <c r="G23" s="269" t="str">
        <f>IF(OR(D23=0,D23="%"),"%",_xlfn.CONCAT(ROUND(F23-D23,3)*100,"pt"))</f>
        <v>0pt</v>
      </c>
      <c r="H23" s="273">
        <f>F23</f>
        <v>0.41426922376582209</v>
      </c>
      <c r="I23" s="269" t="str">
        <f>IF(OR(F23=0,F23="%"),"%",_xlfn.CONCAT(ROUND(H23-F23,3)*100,"pt"))</f>
        <v>0pt</v>
      </c>
      <c r="J23" s="274">
        <f>H23</f>
        <v>0.41426922376582209</v>
      </c>
      <c r="K23" s="269" t="str">
        <f>IF(OR(H23=0,H23="%"),"%",_xlfn.CONCAT(ROUND(J23-H23,3)*100,"pt"))</f>
        <v>0pt</v>
      </c>
      <c r="L23" s="274">
        <f>J23</f>
        <v>0.41426922376582209</v>
      </c>
      <c r="M23" s="269" t="str">
        <f>IF(OR(J23=0,J23="%"),"%",_xlfn.CONCAT(ROUND(L23-J23,3)*100,"pt"))</f>
        <v>0pt</v>
      </c>
      <c r="N23" s="274">
        <f>L23</f>
        <v>0.41426922376582209</v>
      </c>
      <c r="O23" s="269" t="str">
        <f>IF(OR(L23=0,L23="%"),"%",_xlfn.CONCAT(ROUND(N23-L23,3)*100,"pt"))</f>
        <v>0pt</v>
      </c>
      <c r="P23" s="274">
        <f>N23</f>
        <v>0.41426922376582209</v>
      </c>
      <c r="Q23" s="269" t="str">
        <f>IF(OR(N23=0,N23="%"),"%",_xlfn.CONCAT(ROUND(P23-N23,3)*100,"pt"))</f>
        <v>0pt</v>
      </c>
      <c r="R23" s="352" t="str">
        <f>IF(OR(C23=0,C23="%"),"%",_xlfn.CONCAT(ROUND(P23-C23,3)*100,"pt"))</f>
        <v>0pt</v>
      </c>
      <c r="S23" s="270" t="str">
        <f>IF(OR(C23=0,C23="%"),"%",_xlfn.CONCAT(ROUND((P23-C23)/7,3)*100,"pt"))</f>
        <v>0pt</v>
      </c>
      <c r="T23" s="295"/>
    </row>
    <row r="24" spans="1:20" s="165" customFormat="1" x14ac:dyDescent="0.2">
      <c r="A24" s="296"/>
      <c r="B24" s="169" t="s">
        <v>245</v>
      </c>
      <c r="C24" s="248">
        <f>IF(C10=0,"%",(-C18*(1-C$23))/(C10))</f>
        <v>-9.0225754731361185E-2</v>
      </c>
      <c r="D24" s="248">
        <f>IF(D10=0,"%",(-D18*(1-D$23))/(D10))</f>
        <v>5.5016700946373412E-2</v>
      </c>
      <c r="E24" s="269" t="str">
        <f>IF(OR(C24=0,C24="%"),"%",_xlfn.CONCAT(ROUND(D24-C24,3)*100,"pt"))</f>
        <v>14.5pt</v>
      </c>
      <c r="F24" s="248">
        <f>IF(F10=0,"%",(-F18*(1-F$23))/(F10))</f>
        <v>1.6360004013007874E-3</v>
      </c>
      <c r="G24" s="269" t="str">
        <f>IF(OR(D24=0,D24="%"),"%",_xlfn.CONCAT(ROUND(F24-D24,3)*100,"pt"))</f>
        <v>-5.3pt</v>
      </c>
      <c r="H24" s="248">
        <f>IF(H10=0,"%",(-H18*(1-H$23))/(H10))</f>
        <v>-8.9642153517516966E-3</v>
      </c>
      <c r="I24" s="269" t="str">
        <f>IF(OR(F24=0,F24="%"),"%",_xlfn.CONCAT(ROUND(H24-F24,3)*100,"pt"))</f>
        <v>-1.1pt</v>
      </c>
      <c r="J24" s="248">
        <f>IF(J10=0,"%",(-J18*(1-J$23))/(J10))</f>
        <v>-1.5388269004562201E-2</v>
      </c>
      <c r="K24" s="269" t="str">
        <f>IF(OR(H24=0,H24="%"),"%",_xlfn.CONCAT(ROUND(J24-H24,3)*100,"pt"))</f>
        <v>-0.6pt</v>
      </c>
      <c r="L24" s="248">
        <f>IF(L10=0,"%",(-L18*(1-L$23))/(L10))</f>
        <v>7.0525247944079111E-3</v>
      </c>
      <c r="M24" s="269" t="str">
        <f>IF(OR(J24=0,J24="%"),"%",_xlfn.CONCAT(ROUND(L24-J24,3)*100,"pt"))</f>
        <v>2.2pt</v>
      </c>
      <c r="N24" s="248">
        <f>IF(N10=0,"%",(-N18*(1-N$23))/(N10))</f>
        <v>1.9142132593253449E-2</v>
      </c>
      <c r="O24" s="269" t="str">
        <f>IF(OR(L24=0,L24="%"),"%",_xlfn.CONCAT(ROUND(N24-L24,3)*100,"pt"))</f>
        <v>1.2pt</v>
      </c>
      <c r="P24" s="248">
        <f>IF(P10=0,"%",(-P18*(1-P$23))/(P10))</f>
        <v>2.9045140085192399E-2</v>
      </c>
      <c r="Q24" s="269" t="str">
        <f>IF(OR(N24=0,N24="%"),"%",_xlfn.CONCAT(ROUND(P24-N24,3)*100,"pt"))</f>
        <v>1pt</v>
      </c>
      <c r="R24" s="352" t="str">
        <f>IF(OR(C24=0,C24="%"),"%",_xlfn.CONCAT(ROUND(P24-C24,3)*100,"pt"))</f>
        <v>11.9pt</v>
      </c>
      <c r="S24" s="270" t="str">
        <f>IF(OR(C24=0,C24="%"),"%",_xlfn.CONCAT(ROUND((P24-C24)/7,3)*100,"pt"))</f>
        <v>1.7pt</v>
      </c>
      <c r="T24" s="295"/>
    </row>
    <row r="25" spans="1:20" s="165" customFormat="1" ht="13.5" thickBot="1" x14ac:dyDescent="0.25">
      <c r="A25" s="296"/>
      <c r="B25" s="260" t="s">
        <v>246</v>
      </c>
      <c r="C25" s="234">
        <f>IF(C8=0,"%",(-C18*C$23)/C8)</f>
        <v>-9.0225754731361171E-2</v>
      </c>
      <c r="D25" s="234">
        <f>IF(D8=0,"%",(-D18*D$23)/D8)</f>
        <v>5.6205513432316397E-2</v>
      </c>
      <c r="E25" s="271" t="str">
        <f>IF(OR(C25=0,C25="%"),"%",_xlfn.CONCAT(ROUND(D25-C25,3)*100,"pt"))</f>
        <v>14.6pt</v>
      </c>
      <c r="F25" s="234">
        <f>IF(F8=0,"%",(-F18*F$23)/F8)</f>
        <v>1.6787902966429822E-3</v>
      </c>
      <c r="G25" s="271" t="str">
        <f>IF(OR(D25=0,D25="%"),"%",_xlfn.CONCAT(ROUND(F25-D25,3)*100,"pt"))</f>
        <v>-5.5pt</v>
      </c>
      <c r="H25" s="234">
        <f>IF(H8=0,"%",(-H18*H$23)/H8)</f>
        <v>-9.6813057561983603E-3</v>
      </c>
      <c r="I25" s="271" t="str">
        <f>IF(OR(F25=0,F25="%"),"%",_xlfn.CONCAT(ROUND(H25-F25,3)*100,"pt"))</f>
        <v>-1.1pt</v>
      </c>
      <c r="J25" s="234">
        <f>IF(J8=0,"%",(-J18*J$23)/J8)</f>
        <v>-1.7472664997098767E-2</v>
      </c>
      <c r="K25" s="271" t="str">
        <f>IF(OR(H25=0,H25="%"),"%",_xlfn.CONCAT(ROUND(J25-H25,3)*100,"pt"))</f>
        <v>-0.8pt</v>
      </c>
      <c r="L25" s="234">
        <f>IF(L8=0,"%",(-L18*L$23)/L8)</f>
        <v>8.0926140944364202E-3</v>
      </c>
      <c r="M25" s="271" t="str">
        <f>IF(OR(J25=0,J25="%"),"%",_xlfn.CONCAT(ROUND(L25-J25,3)*100,"pt"))</f>
        <v>2.6pt</v>
      </c>
      <c r="N25" s="234">
        <f>IF(N8=0,"%",(-N18*N$23)/N8)</f>
        <v>2.1993896322674889E-2</v>
      </c>
      <c r="O25" s="271" t="str">
        <f>IF(OR(L25=0,L25="%"),"%",_xlfn.CONCAT(ROUND(N25-L25,3)*100,"pt"))</f>
        <v>1.4pt</v>
      </c>
      <c r="P25" s="234">
        <f>IF(P8=0,"%",(-P18*P$23)/P8)</f>
        <v>3.275059887171871E-2</v>
      </c>
      <c r="Q25" s="271" t="str">
        <f>IF(OR(N25=0,N25="%"),"%",_xlfn.CONCAT(ROUND(P25-N25,3)*100,"pt"))</f>
        <v>1.1pt</v>
      </c>
      <c r="R25" s="353" t="str">
        <f>IF(OR(C25=0,C25="%"),"%",_xlfn.CONCAT(ROUND(P25-C25,3)*100,"pt"))</f>
        <v>12.3pt</v>
      </c>
      <c r="S25" s="339" t="str">
        <f>IF(OR(C25=0,C25="%"),"%",_xlfn.CONCAT(ROUND((P25-C25)/7,3)*100,"pt"))</f>
        <v>1.8pt</v>
      </c>
      <c r="T25" s="295"/>
    </row>
    <row r="26" spans="1:20" s="165" customFormat="1" x14ac:dyDescent="0.2">
      <c r="A26" s="296"/>
      <c r="T26" s="295"/>
    </row>
    <row r="27" spans="1:20" ht="13.5" thickBot="1" x14ac:dyDescent="0.25">
      <c r="A27" s="296"/>
      <c r="B27" s="165"/>
      <c r="C27" s="165"/>
      <c r="D27" s="165"/>
      <c r="E27" s="165"/>
      <c r="F27" s="165"/>
      <c r="G27" s="165"/>
      <c r="H27" s="165"/>
      <c r="I27" s="165"/>
      <c r="J27" s="165"/>
      <c r="K27" s="165"/>
      <c r="L27" s="165"/>
      <c r="M27" s="165"/>
      <c r="N27" s="165"/>
      <c r="O27" s="165"/>
      <c r="P27" s="165"/>
      <c r="Q27" s="165"/>
      <c r="R27" s="165"/>
      <c r="S27" s="165"/>
      <c r="T27" s="295"/>
    </row>
    <row r="28" spans="1:20" x14ac:dyDescent="0.2">
      <c r="A28" s="296"/>
      <c r="B28" s="476" t="s">
        <v>247</v>
      </c>
      <c r="C28" s="277" t="s">
        <v>248</v>
      </c>
      <c r="D28" s="278">
        <v>0</v>
      </c>
      <c r="E28" s="167" t="s">
        <v>249</v>
      </c>
      <c r="F28" s="167"/>
      <c r="G28" s="167"/>
      <c r="H28" s="167"/>
      <c r="I28" s="167"/>
      <c r="J28" s="167"/>
      <c r="K28" s="167"/>
      <c r="L28" s="167"/>
      <c r="M28" s="167"/>
      <c r="N28" s="167"/>
      <c r="O28" s="167"/>
      <c r="P28" s="167"/>
      <c r="Q28" s="167"/>
      <c r="R28" s="167"/>
      <c r="S28" s="261"/>
      <c r="T28" s="295"/>
    </row>
    <row r="29" spans="1:20" x14ac:dyDescent="0.2">
      <c r="A29" s="296"/>
      <c r="B29" s="477"/>
      <c r="C29" s="239" t="s">
        <v>250</v>
      </c>
      <c r="D29" s="279">
        <v>0</v>
      </c>
      <c r="E29" s="165"/>
      <c r="F29" s="165"/>
      <c r="G29" s="165"/>
      <c r="H29" s="165"/>
      <c r="I29" s="165"/>
      <c r="J29" s="165"/>
      <c r="K29" s="165"/>
      <c r="L29" s="165"/>
      <c r="M29" s="165"/>
      <c r="N29" s="165"/>
      <c r="O29" s="165"/>
      <c r="P29" s="165"/>
      <c r="Q29" s="165"/>
      <c r="R29" s="165"/>
      <c r="S29" s="262"/>
      <c r="T29" s="295"/>
    </row>
    <row r="30" spans="1:20" x14ac:dyDescent="0.2">
      <c r="A30" s="296"/>
      <c r="B30" s="477"/>
      <c r="C30" s="239" t="s">
        <v>251</v>
      </c>
      <c r="D30" s="279">
        <v>0</v>
      </c>
      <c r="E30" s="165"/>
      <c r="F30" s="165"/>
      <c r="G30" s="165"/>
      <c r="H30" s="165"/>
      <c r="I30" s="165"/>
      <c r="J30" s="165"/>
      <c r="K30" s="165"/>
      <c r="L30" s="165"/>
      <c r="M30" s="165"/>
      <c r="N30" s="165"/>
      <c r="O30" s="165"/>
      <c r="P30" s="165"/>
      <c r="Q30" s="165"/>
      <c r="R30" s="165"/>
      <c r="S30" s="262"/>
      <c r="T30" s="295"/>
    </row>
    <row r="31" spans="1:20" ht="13.5" thickBot="1" x14ac:dyDescent="0.25">
      <c r="A31" s="296"/>
      <c r="B31" s="478"/>
      <c r="C31" s="276" t="s">
        <v>252</v>
      </c>
      <c r="D31" s="265">
        <f>SUM(D28:D30)</f>
        <v>0</v>
      </c>
      <c r="E31" s="239"/>
      <c r="F31" s="165"/>
      <c r="G31" s="165"/>
      <c r="H31" s="165"/>
      <c r="I31" s="165"/>
      <c r="J31" s="165"/>
      <c r="K31" s="165"/>
      <c r="L31" s="165"/>
      <c r="M31" s="165"/>
      <c r="N31" s="165"/>
      <c r="O31" s="165"/>
      <c r="P31" s="165"/>
      <c r="Q31" s="165"/>
      <c r="R31" s="165"/>
      <c r="S31" s="262"/>
      <c r="T31" s="295"/>
    </row>
    <row r="32" spans="1:20" ht="13.5" thickBot="1" x14ac:dyDescent="0.25">
      <c r="A32" s="296"/>
      <c r="B32" s="168"/>
      <c r="C32" s="165"/>
      <c r="D32" s="165"/>
      <c r="E32" s="165"/>
      <c r="F32" s="165"/>
      <c r="G32" s="165"/>
      <c r="H32" s="165"/>
      <c r="I32" s="165"/>
      <c r="J32" s="165"/>
      <c r="K32" s="165"/>
      <c r="L32" s="165"/>
      <c r="M32" s="165"/>
      <c r="N32" s="165"/>
      <c r="O32" s="165"/>
      <c r="P32" s="165"/>
      <c r="Q32" s="165"/>
      <c r="R32" s="165"/>
      <c r="S32" s="340"/>
      <c r="T32" s="295"/>
    </row>
    <row r="33" spans="1:20" x14ac:dyDescent="0.2">
      <c r="A33" s="296"/>
      <c r="B33" s="306"/>
      <c r="C33" s="302" t="s">
        <v>90</v>
      </c>
      <c r="D33" s="302" t="s">
        <v>91</v>
      </c>
      <c r="E33" s="303" t="s">
        <v>99</v>
      </c>
      <c r="F33" s="304" t="s">
        <v>168</v>
      </c>
      <c r="G33" s="303" t="s">
        <v>99</v>
      </c>
      <c r="H33" s="304" t="s">
        <v>169</v>
      </c>
      <c r="I33" s="303" t="s">
        <v>99</v>
      </c>
      <c r="J33" s="305" t="s">
        <v>170</v>
      </c>
      <c r="K33" s="303" t="s">
        <v>99</v>
      </c>
      <c r="L33" s="305" t="s">
        <v>171</v>
      </c>
      <c r="M33" s="303" t="s">
        <v>99</v>
      </c>
      <c r="N33" s="305" t="s">
        <v>172</v>
      </c>
      <c r="O33" s="303" t="s">
        <v>99</v>
      </c>
      <c r="P33" s="305" t="s">
        <v>173</v>
      </c>
      <c r="Q33" s="303" t="s">
        <v>99</v>
      </c>
      <c r="R33" s="354" t="s">
        <v>230</v>
      </c>
      <c r="S33" s="331" t="s">
        <v>231</v>
      </c>
      <c r="T33" s="295"/>
    </row>
    <row r="34" spans="1:20" x14ac:dyDescent="0.2">
      <c r="A34" s="296"/>
      <c r="B34" s="169" t="s">
        <v>253</v>
      </c>
      <c r="C34" s="235">
        <f>IF(C14=0,"%",(-C18*$D$28)/C14)</f>
        <v>0</v>
      </c>
      <c r="D34" s="235">
        <f>IF(D14=0,"%",(-D18*$D$28)/D14)</f>
        <v>0</v>
      </c>
      <c r="E34" s="269" t="str">
        <f>IF(OR(C34=0,C34="%"),"%",_xlfn.CONCAT(ROUND(D34-C34,3)*100,"pt"))</f>
        <v>%</v>
      </c>
      <c r="F34" s="235">
        <f>IF(F14=0,"%",(-F18*$D$28)/F14)</f>
        <v>0</v>
      </c>
      <c r="G34" s="269" t="str">
        <f>IF(OR(D34=0,D34="%"),"%",_xlfn.CONCAT(ROUND(F34-D34,3)*100,"pt"))</f>
        <v>%</v>
      </c>
      <c r="H34" s="235">
        <f>IF(H14=0,"%",(-H18*$D$28)/H14)</f>
        <v>0</v>
      </c>
      <c r="I34" s="269" t="str">
        <f>IF(OR(F34=0,F34="%"),"%",_xlfn.CONCAT(ROUND(H34-F34,3)*100,"pt"))</f>
        <v>%</v>
      </c>
      <c r="J34" s="235">
        <f>IF(J14=0,"%",(-J18*$D$28)/J14)</f>
        <v>0</v>
      </c>
      <c r="K34" s="269" t="str">
        <f>IF(OR(H34=0,H34="%"),"%",_xlfn.CONCAT(ROUND(J34-H34,3)*100,"pt"))</f>
        <v>%</v>
      </c>
      <c r="L34" s="235">
        <f>IF(L14=0,"%",(-L18*$D$28)/L14)</f>
        <v>0</v>
      </c>
      <c r="M34" s="269" t="str">
        <f>IF(OR(J34=0,J34="%"),"%",_xlfn.CONCAT(ROUND(L34-J34,3)*100,"pt"))</f>
        <v>%</v>
      </c>
      <c r="N34" s="235">
        <f>IF(N14=0,"%",(-N18*$D$28)/N14)</f>
        <v>0</v>
      </c>
      <c r="O34" s="269" t="str">
        <f>IF(OR(L34=0,L34="%"),"%",_xlfn.CONCAT(ROUND(N34-L34,3)*100,"pt"))</f>
        <v>%</v>
      </c>
      <c r="P34" s="235">
        <f>IF(P14=0,"%",(-P18*$D$28)/P14)</f>
        <v>0</v>
      </c>
      <c r="Q34" s="269" t="str">
        <f>IF(OR(N34=0,N34="%"),"%",_xlfn.CONCAT(ROUND(P34-N34,3)*100,"pt"))</f>
        <v>%</v>
      </c>
      <c r="R34" s="352" t="str">
        <f>IF(OR(C34=0,C34="%"),"%",_xlfn.CONCAT(ROUND(P34-C34,3)*100,"pt"))</f>
        <v>%</v>
      </c>
      <c r="S34" s="270" t="str">
        <f>IF(OR(C34=0,C34="%"),"%",_xlfn.CONCAT(ROUND((P34-C34)/7,3)*100,"pt"))</f>
        <v>%</v>
      </c>
      <c r="T34" s="295"/>
    </row>
    <row r="35" spans="1:20" x14ac:dyDescent="0.2">
      <c r="A35" s="296"/>
      <c r="B35" s="169" t="s">
        <v>254</v>
      </c>
      <c r="C35" s="235">
        <f>IF(C10=0,"%",(-C18*$D$29)/(C10))</f>
        <v>0</v>
      </c>
      <c r="D35" s="235">
        <f>IF(D10=0,"%",(-D18*$D$29)/(D10))</f>
        <v>0</v>
      </c>
      <c r="E35" s="269" t="str">
        <f>IF(OR(C35=0,C35="%"),"%",_xlfn.CONCAT(ROUND(D35-C35,3)*100,"pt"))</f>
        <v>%</v>
      </c>
      <c r="F35" s="235">
        <f>IF(F10=0,"%",(-F18*$D$29)/(F10))</f>
        <v>0</v>
      </c>
      <c r="G35" s="269" t="str">
        <f>IF(OR(D35=0,D35="%"),"%",_xlfn.CONCAT(ROUND(F35-D35,3)*100,"pt"))</f>
        <v>%</v>
      </c>
      <c r="H35" s="235">
        <f>IF(H10=0,"%",(-H18*$D$29)/(H10))</f>
        <v>0</v>
      </c>
      <c r="I35" s="269" t="str">
        <f>IF(OR(F35=0,F35="%"),"%",_xlfn.CONCAT(ROUND(H35-F35,3)*100,"pt"))</f>
        <v>%</v>
      </c>
      <c r="J35" s="235">
        <f>IF(J10=0,"%",(-J18*$D$29)/(J10))</f>
        <v>0</v>
      </c>
      <c r="K35" s="269" t="str">
        <f>IF(OR(H35=0,H35="%"),"%",_xlfn.CONCAT(ROUND(J35-H35,3)*100,"pt"))</f>
        <v>%</v>
      </c>
      <c r="L35" s="235">
        <f>IF(L10=0,"%",(-L18*$D$29)/(L10))</f>
        <v>0</v>
      </c>
      <c r="M35" s="269" t="str">
        <f>IF(OR(J35=0,J35="%"),"%",_xlfn.CONCAT(ROUND(L35-J35,3)*100,"pt"))</f>
        <v>%</v>
      </c>
      <c r="N35" s="235">
        <f>IF(N10=0,"%",(-N18*$D$29)/(N10))</f>
        <v>0</v>
      </c>
      <c r="O35" s="269" t="str">
        <f>IF(OR(L35=0,L35="%"),"%",_xlfn.CONCAT(ROUND(N35-L35,3)*100,"pt"))</f>
        <v>%</v>
      </c>
      <c r="P35" s="235">
        <f>IF(P10=0,"%",(-P18*$D$29)/(P10))</f>
        <v>0</v>
      </c>
      <c r="Q35" s="269" t="str">
        <f>IF(OR(N35=0,N35="%"),"%",_xlfn.CONCAT(ROUND(P35-N35,3)*100,"pt"))</f>
        <v>%</v>
      </c>
      <c r="R35" s="352" t="str">
        <f>IF(OR(C35=0,C35="%"),"%",_xlfn.CONCAT(ROUND(P35-C35,3)*100,"pt"))</f>
        <v>%</v>
      </c>
      <c r="S35" s="270" t="str">
        <f>IF(OR(C35=0,C35="%"),"%",_xlfn.CONCAT(ROUND((P35-C35)/7,3)*100,"pt"))</f>
        <v>%</v>
      </c>
      <c r="T35" s="295"/>
    </row>
    <row r="36" spans="1:20" x14ac:dyDescent="0.2">
      <c r="A36" s="296"/>
      <c r="B36" s="169" t="s">
        <v>246</v>
      </c>
      <c r="C36" s="235">
        <f>IF(C8=0,"%",(-C18*$D$30)/C8)</f>
        <v>0</v>
      </c>
      <c r="D36" s="235">
        <f>IF(D8=0,"%",(-D18*$D$30)/D8)</f>
        <v>0</v>
      </c>
      <c r="E36" s="269" t="str">
        <f>IF(OR(C36=0,C36="%"),"%",_xlfn.CONCAT(ROUND(D36-C36,3)*100,"pt"))</f>
        <v>%</v>
      </c>
      <c r="F36" s="235">
        <f>IF(F8=0,"%",(-F18*$D$30)/F8)</f>
        <v>0</v>
      </c>
      <c r="G36" s="269" t="str">
        <f>IF(OR(D36=0,D36="%"),"%",_xlfn.CONCAT(ROUND(F36-D36,3)*100,"pt"))</f>
        <v>%</v>
      </c>
      <c r="H36" s="235">
        <f>IF(H8=0,"%",(-H18*$D$30)/H8)</f>
        <v>0</v>
      </c>
      <c r="I36" s="269" t="str">
        <f>IF(OR(F36=0,F36="%"),"%",_xlfn.CONCAT(ROUND(H36-F36,3)*100,"pt"))</f>
        <v>%</v>
      </c>
      <c r="J36" s="235">
        <f>IF(J8=0,"%",(-J18*$D$30)/J8)</f>
        <v>0</v>
      </c>
      <c r="K36" s="269" t="str">
        <f>IF(OR(H36=0,H36="%"),"%",_xlfn.CONCAT(ROUND(J36-H36,3)*100,"pt"))</f>
        <v>%</v>
      </c>
      <c r="L36" s="235">
        <f>IF(L8=0,"%",(-L18*$D$30)/L8)</f>
        <v>0</v>
      </c>
      <c r="M36" s="269" t="str">
        <f>IF(OR(J36=0,J36="%"),"%",_xlfn.CONCAT(ROUND(L36-J36,3)*100,"pt"))</f>
        <v>%</v>
      </c>
      <c r="N36" s="235">
        <f>IF(N8=0,"%",(-N18*$D$30)/N8)</f>
        <v>0</v>
      </c>
      <c r="O36" s="269" t="str">
        <f>IF(OR(L36=0,L36="%"),"%",_xlfn.CONCAT(ROUND(N36-L36,3)*100,"pt"))</f>
        <v>%</v>
      </c>
      <c r="P36" s="235">
        <f>IF(P8=0,"%",(-P18*$D$30)/P8)</f>
        <v>0</v>
      </c>
      <c r="Q36" s="269" t="str">
        <f>IF(OR(N36=0,N36="%"),"%",_xlfn.CONCAT(ROUND(P36-N36,3)*100,"pt"))</f>
        <v>%</v>
      </c>
      <c r="R36" s="352" t="str">
        <f>IF(OR(C36=0,C36="%"),"%",_xlfn.CONCAT(ROUND(P36-C36,3)*100,"pt"))</f>
        <v>%</v>
      </c>
      <c r="S36" s="270" t="str">
        <f>IF(OR(C36=0,C36="%"),"%",_xlfn.CONCAT(ROUND((P36-C36)/7,3)*100,"pt"))</f>
        <v>%</v>
      </c>
      <c r="T36" s="295"/>
    </row>
    <row r="37" spans="1:20" ht="13.5" thickBot="1" x14ac:dyDescent="0.25">
      <c r="A37" s="296"/>
      <c r="B37" s="263" t="s">
        <v>237</v>
      </c>
      <c r="C37" s="264">
        <f>IF(C8=0,"%",((1+C36)*C8)/(((1+C35)*C10)+((1+C36)*C8)))</f>
        <v>0.41426922376582209</v>
      </c>
      <c r="D37" s="264">
        <f>IF(D8=0,"%",((1+D36)*D8)/(((1+D35)*D10)+((1+D36)*D8)))</f>
        <v>0.40909151841111041</v>
      </c>
      <c r="E37" s="271" t="str">
        <f>IF(OR(C37=0,C37="%"),"%",_xlfn.CONCAT(ROUND(D37-C37,3)*100,"pt"))</f>
        <v>-0.5pt</v>
      </c>
      <c r="F37" s="264">
        <f>IF(F8=0,"%",((1+F36)*F8)/(((1+F35)*F10)+((1+F36)*F8)))</f>
        <v>0.40801842330382043</v>
      </c>
      <c r="G37" s="271" t="str">
        <f>IF(OR(D37=0,D37="%"),"%",_xlfn.CONCAT(ROUND(F37-D37,3)*100,"pt"))</f>
        <v>-0.1pt</v>
      </c>
      <c r="H37" s="264">
        <f>IF(H8=0,"%",((1+H36)*H8)/(((1+H35)*H10)+((1+H36)*H8)))</f>
        <v>0.39572726351714382</v>
      </c>
      <c r="I37" s="271" t="str">
        <f>IF(OR(F37=0,F37="%"),"%",_xlfn.CONCAT(ROUND(H37-F37,3)*100,"pt"))</f>
        <v>-1.2pt</v>
      </c>
      <c r="J37" s="264">
        <f>IF(J8=0,"%",((1+J36)*J8)/(((1+J35)*J10)+((1+J36)*J8)))</f>
        <v>0.38381740940694153</v>
      </c>
      <c r="K37" s="271" t="str">
        <f>IF(OR(H37=0,H37="%"),"%",_xlfn.CONCAT(ROUND(J37-H37,3)*100,"pt"))</f>
        <v>-1.2pt</v>
      </c>
      <c r="L37" s="264">
        <f>IF(L8=0,"%",((1+L36)*L8)/(((1+L35)*L10)+((1+L36)*L8)))</f>
        <v>0.38132918569098323</v>
      </c>
      <c r="M37" s="271" t="str">
        <f>IF(OR(J37=0,J37="%"),"%",_xlfn.CONCAT(ROUND(L37-J37,3)*100,"pt"))</f>
        <v>-0.2pt</v>
      </c>
      <c r="N37" s="264">
        <f>IF(N8=0,"%",((1+N36)*N8)/(((1+N35)*N10)+((1+N36)*N8)))</f>
        <v>0.38102087828757869</v>
      </c>
      <c r="O37" s="271" t="str">
        <f>IF(OR(L37=0,L37="%"),"%",_xlfn.CONCAT(ROUND(N37-L37,3)*100,"pt"))</f>
        <v>0pt</v>
      </c>
      <c r="P37" s="264">
        <f>IF(P8=0,"%",((1+P36)*P8)/(((1+P35)*P10)+((1+P36)*P8)))</f>
        <v>0.38546528818905545</v>
      </c>
      <c r="Q37" s="271" t="str">
        <f>IF(OR(N37=0,N37="%"),"%",_xlfn.CONCAT(ROUND(P37-N37,3)*100,"pt"))</f>
        <v>0.4pt</v>
      </c>
      <c r="R37" s="353" t="str">
        <f>IF(OR(C37=0,C37="%"),"%",_xlfn.CONCAT(ROUND(P37-C37,3)*100,"pt"))</f>
        <v>-2.9pt</v>
      </c>
      <c r="S37" s="339" t="str">
        <f>IF(OR(C37=0,C37="%"),"%",_xlfn.CONCAT(ROUND((P37-C37)/7,3)*100,"pt"))</f>
        <v>-0.4pt</v>
      </c>
      <c r="T37" s="295"/>
    </row>
    <row r="38" spans="1:20" x14ac:dyDescent="0.2">
      <c r="A38" s="296"/>
      <c r="B38" s="165"/>
      <c r="C38" s="165"/>
      <c r="D38" s="165"/>
      <c r="E38" s="165"/>
      <c r="F38" s="165"/>
      <c r="G38" s="165"/>
      <c r="H38" s="165"/>
      <c r="I38" s="165"/>
      <c r="J38" s="165"/>
      <c r="K38" s="165"/>
      <c r="L38" s="165"/>
      <c r="M38" s="165"/>
      <c r="N38" s="165"/>
      <c r="O38" s="165"/>
      <c r="P38" s="165"/>
      <c r="Q38" s="165"/>
      <c r="R38" s="165"/>
      <c r="S38" s="165"/>
      <c r="T38" s="295"/>
    </row>
    <row r="39" spans="1:20" x14ac:dyDescent="0.2">
      <c r="A39" s="296"/>
      <c r="B39" s="165"/>
      <c r="C39" s="165"/>
      <c r="D39" s="165"/>
      <c r="E39" s="165"/>
      <c r="F39" s="165"/>
      <c r="G39" s="165"/>
      <c r="H39" s="165"/>
      <c r="I39" s="165"/>
      <c r="J39" s="165"/>
      <c r="K39" s="165"/>
      <c r="L39" s="165"/>
      <c r="M39" s="165"/>
      <c r="N39" s="165"/>
      <c r="O39" s="165"/>
      <c r="P39" s="165"/>
      <c r="Q39" s="165"/>
      <c r="R39" s="165"/>
      <c r="S39" s="165"/>
      <c r="T39" s="295"/>
    </row>
    <row r="40" spans="1:20" x14ac:dyDescent="0.2">
      <c r="A40" s="298"/>
      <c r="B40" s="166"/>
      <c r="C40" s="166"/>
      <c r="D40" s="166"/>
      <c r="E40" s="166"/>
      <c r="F40" s="166"/>
      <c r="G40" s="166"/>
      <c r="H40" s="166"/>
      <c r="I40" s="166"/>
      <c r="J40" s="166"/>
      <c r="K40" s="166"/>
      <c r="L40" s="166"/>
      <c r="M40" s="166"/>
      <c r="N40" s="166"/>
      <c r="O40" s="166"/>
      <c r="P40" s="166"/>
      <c r="Q40" s="166"/>
      <c r="R40" s="166"/>
      <c r="S40" s="166"/>
      <c r="T40" s="299"/>
    </row>
  </sheetData>
  <mergeCells count="4">
    <mergeCell ref="B28:B31"/>
    <mergeCell ref="A2:G2"/>
    <mergeCell ref="R6:S6"/>
    <mergeCell ref="A3:S4"/>
  </mergeCells>
  <pageMargins left="0.7" right="0.7" top="0.75" bottom="0.75" header="0.3" footer="0.3"/>
  <pageSetup paperSize="5" scale="5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H23"/>
  <sheetViews>
    <sheetView topLeftCell="A5" zoomScale="80" zoomScaleNormal="80" workbookViewId="0">
      <selection activeCell="D25" sqref="D25"/>
    </sheetView>
  </sheetViews>
  <sheetFormatPr defaultColWidth="9.140625" defaultRowHeight="12.75" x14ac:dyDescent="0.2"/>
  <cols>
    <col min="1" max="1" width="9.140625" style="1"/>
    <col min="2" max="2" width="50.5703125" style="1" customWidth="1"/>
    <col min="3" max="3" width="40" style="1" customWidth="1"/>
    <col min="4" max="4" width="18.5703125" style="1" customWidth="1"/>
    <col min="5" max="5" width="15.42578125" style="1" customWidth="1"/>
    <col min="6" max="6" width="18.5703125" style="1" customWidth="1"/>
    <col min="7" max="7" width="16.42578125" style="1" customWidth="1"/>
    <col min="8" max="8" width="73.28515625" style="1" customWidth="1"/>
    <col min="9" max="16384" width="9.140625" style="1"/>
  </cols>
  <sheetData>
    <row r="1" spans="1:8" ht="20.100000000000001" customHeight="1" x14ac:dyDescent="0.2">
      <c r="A1" s="57" t="s">
        <v>255</v>
      </c>
      <c r="B1" s="57"/>
      <c r="C1" s="57"/>
      <c r="D1" s="57"/>
      <c r="E1" s="57"/>
      <c r="F1" s="57"/>
      <c r="G1" s="57"/>
    </row>
    <row r="2" spans="1:8" ht="20.100000000000001" customHeight="1" x14ac:dyDescent="0.2">
      <c r="A2" s="489" t="str">
        <f>'Institution ID'!C3</f>
        <v>Virginia Military Institute</v>
      </c>
      <c r="B2" s="489"/>
      <c r="C2" s="489"/>
      <c r="D2" s="489"/>
      <c r="E2" s="489"/>
      <c r="F2" s="489"/>
      <c r="G2" s="489"/>
    </row>
    <row r="3" spans="1:8" s="6" customFormat="1" ht="30" customHeight="1" x14ac:dyDescent="0.2">
      <c r="A3" s="482" t="s">
        <v>27</v>
      </c>
      <c r="B3" s="482"/>
      <c r="C3" s="482"/>
      <c r="D3" s="482"/>
      <c r="E3" s="482"/>
      <c r="F3" s="482"/>
      <c r="G3" s="482"/>
      <c r="H3" s="482"/>
    </row>
    <row r="4" spans="1:8" s="6" customFormat="1" ht="114" customHeight="1" thickBot="1" x14ac:dyDescent="0.25">
      <c r="A4" s="497"/>
      <c r="B4" s="497"/>
      <c r="C4" s="497"/>
      <c r="D4" s="497"/>
      <c r="E4" s="497"/>
      <c r="F4" s="497"/>
      <c r="G4" s="497"/>
      <c r="H4" s="497"/>
    </row>
    <row r="5" spans="1:8" s="3" customFormat="1" ht="20.100000000000001" customHeight="1" thickBot="1" x14ac:dyDescent="0.25">
      <c r="A5" s="490" t="s">
        <v>256</v>
      </c>
      <c r="B5" s="484" t="s">
        <v>257</v>
      </c>
      <c r="C5" s="485"/>
      <c r="D5" s="485"/>
      <c r="E5" s="485"/>
      <c r="F5" s="485"/>
      <c r="G5" s="485"/>
      <c r="H5" s="486" t="s">
        <v>258</v>
      </c>
    </row>
    <row r="6" spans="1:8" s="3" customFormat="1" ht="20.100000000000001" customHeight="1" thickBot="1" x14ac:dyDescent="0.25">
      <c r="A6" s="491"/>
      <c r="B6" s="47"/>
      <c r="C6" s="382"/>
      <c r="D6" s="484" t="s">
        <v>259</v>
      </c>
      <c r="E6" s="485"/>
      <c r="F6" s="485"/>
      <c r="G6" s="485"/>
      <c r="H6" s="487"/>
    </row>
    <row r="7" spans="1:8" s="3" customFormat="1" ht="20.100000000000001" customHeight="1" thickBot="1" x14ac:dyDescent="0.25">
      <c r="A7" s="491"/>
      <c r="B7" s="486" t="s">
        <v>260</v>
      </c>
      <c r="C7" s="494" t="s">
        <v>261</v>
      </c>
      <c r="D7" s="485"/>
      <c r="E7" s="485"/>
      <c r="F7" s="485"/>
      <c r="G7" s="485"/>
      <c r="H7" s="487"/>
    </row>
    <row r="8" spans="1:8" s="3" customFormat="1" ht="20.100000000000001" customHeight="1" thickBot="1" x14ac:dyDescent="0.25">
      <c r="A8" s="491"/>
      <c r="B8" s="487"/>
      <c r="C8" s="495"/>
      <c r="D8" s="484" t="s">
        <v>168</v>
      </c>
      <c r="E8" s="485"/>
      <c r="F8" s="488" t="s">
        <v>169</v>
      </c>
      <c r="G8" s="485"/>
      <c r="H8" s="487"/>
    </row>
    <row r="9" spans="1:8" s="3" customFormat="1" ht="42" customHeight="1" thickBot="1" x14ac:dyDescent="0.25">
      <c r="A9" s="492"/>
      <c r="B9" s="493"/>
      <c r="C9" s="496"/>
      <c r="D9" s="58" t="s">
        <v>176</v>
      </c>
      <c r="E9" s="59" t="s">
        <v>262</v>
      </c>
      <c r="F9" s="60" t="s">
        <v>176</v>
      </c>
      <c r="G9" s="59" t="s">
        <v>262</v>
      </c>
      <c r="H9" s="487"/>
    </row>
    <row r="10" spans="1:8" ht="60" customHeight="1" thickBot="1" x14ac:dyDescent="0.25">
      <c r="A10" s="43">
        <v>1</v>
      </c>
      <c r="B10" s="44" t="s">
        <v>372</v>
      </c>
      <c r="C10" s="48" t="s">
        <v>276</v>
      </c>
      <c r="D10" s="42">
        <v>169000</v>
      </c>
      <c r="E10" s="42">
        <v>169000</v>
      </c>
      <c r="F10" s="42">
        <f>169000+172380</f>
        <v>341380</v>
      </c>
      <c r="G10" s="42">
        <f>169000+172380</f>
        <v>341380</v>
      </c>
      <c r="H10" s="388" t="s">
        <v>394</v>
      </c>
    </row>
    <row r="11" spans="1:8" ht="45" customHeight="1" thickBot="1" x14ac:dyDescent="0.25">
      <c r="A11" s="43">
        <v>2</v>
      </c>
      <c r="B11" s="44" t="s">
        <v>370</v>
      </c>
      <c r="C11" s="48" t="s">
        <v>264</v>
      </c>
      <c r="D11" s="42">
        <v>62999.999999999993</v>
      </c>
      <c r="E11" s="42">
        <v>62999.999999999993</v>
      </c>
      <c r="F11" s="42">
        <f>63000+64260</f>
        <v>127260</v>
      </c>
      <c r="G11" s="42">
        <f>63000+64260</f>
        <v>127260</v>
      </c>
      <c r="H11" s="388" t="s">
        <v>384</v>
      </c>
    </row>
    <row r="12" spans="1:8" ht="45" customHeight="1" thickBot="1" x14ac:dyDescent="0.25">
      <c r="A12" s="43">
        <v>3</v>
      </c>
      <c r="B12" s="44" t="s">
        <v>366</v>
      </c>
      <c r="C12" s="48" t="s">
        <v>267</v>
      </c>
      <c r="D12" s="42">
        <f>0</f>
        <v>0</v>
      </c>
      <c r="E12" s="42">
        <f>0</f>
        <v>0</v>
      </c>
      <c r="F12" s="42">
        <v>112000</v>
      </c>
      <c r="G12" s="42">
        <v>112000</v>
      </c>
      <c r="H12" s="389" t="s">
        <v>397</v>
      </c>
    </row>
    <row r="13" spans="1:8" ht="45" customHeight="1" thickBot="1" x14ac:dyDescent="0.25">
      <c r="A13" s="43">
        <v>4</v>
      </c>
      <c r="B13" s="44" t="s">
        <v>369</v>
      </c>
      <c r="C13" s="48" t="s">
        <v>267</v>
      </c>
      <c r="D13" s="42">
        <v>62999.999999999993</v>
      </c>
      <c r="E13" s="42">
        <v>62999.999999999993</v>
      </c>
      <c r="F13" s="42">
        <f>63000+64260</f>
        <v>127260</v>
      </c>
      <c r="G13" s="42">
        <f>63000+64260</f>
        <v>127260</v>
      </c>
      <c r="H13" s="388" t="s">
        <v>383</v>
      </c>
    </row>
    <row r="14" spans="1:8" ht="90" customHeight="1" thickBot="1" x14ac:dyDescent="0.25">
      <c r="A14" s="43">
        <v>5</v>
      </c>
      <c r="B14" s="44" t="s">
        <v>368</v>
      </c>
      <c r="C14" s="48" t="s">
        <v>267</v>
      </c>
      <c r="D14" s="42">
        <f>0</f>
        <v>0</v>
      </c>
      <c r="E14" s="42">
        <f>0</f>
        <v>0</v>
      </c>
      <c r="F14" s="42">
        <v>61000</v>
      </c>
      <c r="G14" s="42">
        <v>61000</v>
      </c>
      <c r="H14" s="388" t="s">
        <v>399</v>
      </c>
    </row>
    <row r="15" spans="1:8" ht="20.100000000000001" customHeight="1" thickBot="1" x14ac:dyDescent="0.25">
      <c r="A15" s="43"/>
      <c r="B15" s="44"/>
      <c r="C15" s="48"/>
      <c r="D15" s="42">
        <f>0</f>
        <v>0</v>
      </c>
      <c r="E15" s="42">
        <f>0</f>
        <v>0</v>
      </c>
      <c r="F15" s="42">
        <f>0</f>
        <v>0</v>
      </c>
      <c r="G15" s="42">
        <f>0</f>
        <v>0</v>
      </c>
      <c r="H15" s="375"/>
    </row>
    <row r="16" spans="1:8" ht="20.100000000000001" customHeight="1" thickBot="1" x14ac:dyDescent="0.25">
      <c r="A16" s="43"/>
      <c r="B16" s="44"/>
      <c r="C16" s="48"/>
      <c r="D16" s="42">
        <f>0</f>
        <v>0</v>
      </c>
      <c r="E16" s="42">
        <f>0</f>
        <v>0</v>
      </c>
      <c r="F16" s="42">
        <f>0</f>
        <v>0</v>
      </c>
      <c r="G16" s="42">
        <f>0</f>
        <v>0</v>
      </c>
      <c r="H16" s="375"/>
    </row>
    <row r="17" spans="1:8" ht="20.100000000000001" customHeight="1" thickTop="1" thickBot="1" x14ac:dyDescent="0.25">
      <c r="A17" s="45"/>
      <c r="B17" s="46"/>
      <c r="C17" s="49"/>
      <c r="D17" s="54">
        <f>0</f>
        <v>0</v>
      </c>
      <c r="E17" s="54">
        <f>0</f>
        <v>0</v>
      </c>
      <c r="F17" s="54">
        <f>0</f>
        <v>0</v>
      </c>
      <c r="G17" s="54">
        <f>0</f>
        <v>0</v>
      </c>
      <c r="H17" s="375"/>
    </row>
    <row r="18" spans="1:8" ht="15.75" thickTop="1" x14ac:dyDescent="0.2">
      <c r="A18" s="111"/>
      <c r="B18" s="111"/>
      <c r="C18" s="51"/>
      <c r="D18" s="50">
        <f>SUM(D10:D17)</f>
        <v>295000</v>
      </c>
      <c r="E18" s="52">
        <f>SUM(E10:E17)</f>
        <v>295000</v>
      </c>
      <c r="F18" s="53">
        <f>SUM(F10:F17)</f>
        <v>768900</v>
      </c>
      <c r="G18" s="52">
        <f>SUM(G10:G17)</f>
        <v>768900</v>
      </c>
      <c r="H18" s="111"/>
    </row>
    <row r="19" spans="1:8" x14ac:dyDescent="0.2">
      <c r="B19" s="483"/>
      <c r="C19" s="483"/>
      <c r="D19" s="483"/>
      <c r="E19" s="483"/>
    </row>
    <row r="23" spans="1:8" x14ac:dyDescent="0.2">
      <c r="C23" s="1">
        <v>1</v>
      </c>
    </row>
  </sheetData>
  <mergeCells count="12">
    <mergeCell ref="B19:E19"/>
    <mergeCell ref="D8:E8"/>
    <mergeCell ref="H5:H9"/>
    <mergeCell ref="F8:G8"/>
    <mergeCell ref="A2:G2"/>
    <mergeCell ref="A5:A9"/>
    <mergeCell ref="B5:G5"/>
    <mergeCell ref="D6:G6"/>
    <mergeCell ref="B7:B9"/>
    <mergeCell ref="C7:C9"/>
    <mergeCell ref="D7:G7"/>
    <mergeCell ref="A3:H4"/>
  </mergeCells>
  <pageMargins left="0.7" right="0.45" top="0.25" bottom="0.5" header="0" footer="0.15"/>
  <pageSetup scale="53" fitToHeight="0" orientation="landscape" r:id="rId1"/>
  <headerFooter>
    <oddFooter>&amp;L2017 Six-Year Plan - Academic-Financial Plan&amp;C&amp;P of &amp;N&amp;RSCHEV - 5/23/17</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26C806D9-A5D2-4599-8644-362BAA128E8F}">
          <x14:formula1>
            <xm:f>'GF Request Categories'!$A$2:$A$16</xm:f>
          </x14:formula1>
          <xm:sqref>C15:C17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1e94d65-ae71-498a-a453-e1c80605881d" xsi:nil="true"/>
    <lcf76f155ced4ddcb4097134ff3c332f xmlns="f3d35a40-bbea-43c8-99cf-c6b5d40b3585">
      <Terms xmlns="http://schemas.microsoft.com/office/infopath/2007/PartnerControls"/>
    </lcf76f155ced4ddcb4097134ff3c332f>
    <SharedWithUsers xmlns="01e94d65-ae71-498a-a453-e1c80605881d">
      <UserInfo>
        <DisplayName/>
        <AccountId xsi:nil="true"/>
        <AccountType/>
      </UserInfo>
    </SharedWithUsers>
    <MediaLengthInSeconds xmlns="f3d35a40-bbea-43c8-99cf-c6b5d40b358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238F7A94183E74187B11190571C8356" ma:contentTypeVersion="15" ma:contentTypeDescription="Create a new document." ma:contentTypeScope="" ma:versionID="59a46c6966bb3902afd82eb023caf3dd">
  <xsd:schema xmlns:xsd="http://www.w3.org/2001/XMLSchema" xmlns:xs="http://www.w3.org/2001/XMLSchema" xmlns:p="http://schemas.microsoft.com/office/2006/metadata/properties" xmlns:ns2="f3d35a40-bbea-43c8-99cf-c6b5d40b3585" xmlns:ns3="01e94d65-ae71-498a-a453-e1c80605881d" targetNamespace="http://schemas.microsoft.com/office/2006/metadata/properties" ma:root="true" ma:fieldsID="60f54ad43a37c4f12bc83020f72e349f" ns2:_="" ns3:_="">
    <xsd:import namespace="f3d35a40-bbea-43c8-99cf-c6b5d40b3585"/>
    <xsd:import namespace="01e94d65-ae71-498a-a453-e1c80605881d"/>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LengthInSecond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d35a40-bbea-43c8-99cf-c6b5d40b358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0920e099-540f-4e49-b54d-0e500676ccfd" ma:termSetId="09814cd3-568e-fe90-9814-8d621ff8fb84" ma:anchorId="fba54fb3-c3e1-fe81-a776-ca4b69148c4d" ma:open="true" ma:isKeyword="false">
      <xsd:complexType>
        <xsd:sequence>
          <xsd:element ref="pc:Terms" minOccurs="0" maxOccurs="1"/>
        </xsd:sequence>
      </xsd:complex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1e94d65-ae71-498a-a453-e1c80605881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9" nillable="true" ma:displayName="Taxonomy Catch All Column" ma:hidden="true" ma:list="{1065693a-df8c-402d-996e-cf9ee50cbc90}" ma:internalName="TaxCatchAll" ma:showField="CatchAllData" ma:web="01e94d65-ae71-498a-a453-e1c80605881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173ED9B-A135-4073-9603-C359238DEB16}">
  <ds:schemaRefs>
    <ds:schemaRef ds:uri="http://schemas.microsoft.com/office/2006/metadata/properties"/>
    <ds:schemaRef ds:uri="http://schemas.microsoft.com/office/infopath/2007/PartnerControls"/>
    <ds:schemaRef ds:uri="01e94d65-ae71-498a-a453-e1c80605881d"/>
    <ds:schemaRef ds:uri="f3d35a40-bbea-43c8-99cf-c6b5d40b3585"/>
  </ds:schemaRefs>
</ds:datastoreItem>
</file>

<file path=customXml/itemProps2.xml><?xml version="1.0" encoding="utf-8"?>
<ds:datastoreItem xmlns:ds="http://schemas.openxmlformats.org/officeDocument/2006/customXml" ds:itemID="{CB5FA8B2-4A61-47DB-B90B-503AB9EA1275}"/>
</file>

<file path=customXml/itemProps3.xml><?xml version="1.0" encoding="utf-8"?>
<ds:datastoreItem xmlns:ds="http://schemas.openxmlformats.org/officeDocument/2006/customXml" ds:itemID="{3E6C5413-E7E9-4C8F-A21A-8400F498CE7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9</vt:i4>
      </vt:variant>
    </vt:vector>
  </HeadingPairs>
  <TitlesOfParts>
    <vt:vector size="21" baseType="lpstr">
      <vt:lpstr>Instruction</vt:lpstr>
      <vt:lpstr>Institution ID</vt:lpstr>
      <vt:lpstr>1-UG T&amp;F</vt:lpstr>
      <vt:lpstr>2-Revenue</vt:lpstr>
      <vt:lpstr>3-Financial Aid</vt:lpstr>
      <vt:lpstr>4-Academic-Financial</vt:lpstr>
      <vt:lpstr>4b - GF share</vt:lpstr>
      <vt:lpstr>5-Six-Year Pro Forma</vt:lpstr>
      <vt:lpstr>6-GF Request</vt:lpstr>
      <vt:lpstr>GF Request Categories</vt:lpstr>
      <vt:lpstr>Finance-Tuition Waivers</vt:lpstr>
      <vt:lpstr>Sheet1</vt:lpstr>
      <vt:lpstr>'4-Academic-Financial'!Print_Area</vt:lpstr>
      <vt:lpstr>'6-GF Request'!Print_Area</vt:lpstr>
      <vt:lpstr>'Finance-Tuition Waivers'!Print_Area</vt:lpstr>
      <vt:lpstr>'Institution ID'!Print_Area</vt:lpstr>
      <vt:lpstr>'4-Academic-Financial'!Print_Titles</vt:lpstr>
      <vt:lpstr>'6-GF Request'!Print_Titles</vt:lpstr>
      <vt:lpstr>'Finance-Tuition Waivers'!Print_Titles</vt:lpstr>
      <vt:lpstr>Rank</vt:lpstr>
      <vt:lpstr>YesNo</vt:lpstr>
    </vt:vector>
  </TitlesOfParts>
  <Manager/>
  <Company>Commonwealth of Virginia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YanZheng</dc:creator>
  <cp:keywords/>
  <dc:description/>
  <cp:lastModifiedBy>Lawhorne,  Jeffrey L</cp:lastModifiedBy>
  <cp:revision/>
  <cp:lastPrinted>2023-07-14T17:38:13Z</cp:lastPrinted>
  <dcterms:created xsi:type="dcterms:W3CDTF">2011-02-22T14:15:27Z</dcterms:created>
  <dcterms:modified xsi:type="dcterms:W3CDTF">2023-07-17T17:42:43Z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0x010100E238F7A94183E74187B11190571C8356</vt:lpwstr>
  </property>
  <property fmtid="{D5CDD505-2E9C-101B-9397-08002B2CF9AE}" pid="3" name="MediaServiceImageTags">
    <vt:lpwstr/>
  </property>
  <property fmtid="{D5CDD505-2E9C-101B-9397-08002B2CF9AE}" pid="4" name="MSIP_Label_b0d5c4f4-7a29-4385-b7a5-afbe2154ae6f_Enabled">
    <vt:lpwstr>true</vt:lpwstr>
  </property>
  <property fmtid="{D5CDD505-2E9C-101B-9397-08002B2CF9AE}" pid="5" name="MSIP_Label_b0d5c4f4-7a29-4385-b7a5-afbe2154ae6f_SetDate">
    <vt:lpwstr>2023-05-23T19:11:29Z</vt:lpwstr>
  </property>
  <property fmtid="{D5CDD505-2E9C-101B-9397-08002B2CF9AE}" pid="6" name="MSIP_Label_b0d5c4f4-7a29-4385-b7a5-afbe2154ae6f_Method">
    <vt:lpwstr>Standard</vt:lpwstr>
  </property>
  <property fmtid="{D5CDD505-2E9C-101B-9397-08002B2CF9AE}" pid="7" name="MSIP_Label_b0d5c4f4-7a29-4385-b7a5-afbe2154ae6f_Name">
    <vt:lpwstr>Confidential</vt:lpwstr>
  </property>
  <property fmtid="{D5CDD505-2E9C-101B-9397-08002B2CF9AE}" pid="8" name="MSIP_Label_b0d5c4f4-7a29-4385-b7a5-afbe2154ae6f_SiteId">
    <vt:lpwstr>2dfb2f0b-4d21-4268-9559-72926144c918</vt:lpwstr>
  </property>
  <property fmtid="{D5CDD505-2E9C-101B-9397-08002B2CF9AE}" pid="9" name="MSIP_Label_b0d5c4f4-7a29-4385-b7a5-afbe2154ae6f_ActionId">
    <vt:lpwstr>974741fb-b9bf-400f-90a2-85faa5a20194</vt:lpwstr>
  </property>
  <property fmtid="{D5CDD505-2E9C-101B-9397-08002B2CF9AE}" pid="10" name="MSIP_Label_b0d5c4f4-7a29-4385-b7a5-afbe2154ae6f_ContentBits">
    <vt:lpwstr>0</vt:lpwstr>
  </property>
  <property fmtid="{D5CDD505-2E9C-101B-9397-08002B2CF9AE}" pid="11" name="bcgClassification">
    <vt:lpwstr>bcgConfidential</vt:lpwstr>
  </property>
  <property fmtid="{D5CDD505-2E9C-101B-9397-08002B2CF9AE}" pid="12" name="Order">
    <vt:r8>348400</vt:r8>
  </property>
  <property fmtid="{D5CDD505-2E9C-101B-9397-08002B2CF9AE}" pid="13" name="_SourceUrl">
    <vt:lpwstr/>
  </property>
  <property fmtid="{D5CDD505-2E9C-101B-9397-08002B2CF9AE}" pid="14" name="_SharedFileIndex">
    <vt:lpwstr/>
  </property>
  <property fmtid="{D5CDD505-2E9C-101B-9397-08002B2CF9AE}" pid="15" name="ComplianceAssetId">
    <vt:lpwstr/>
  </property>
  <property fmtid="{D5CDD505-2E9C-101B-9397-08002B2CF9AE}" pid="16" name="_ExtendedDescription">
    <vt:lpwstr/>
  </property>
  <property fmtid="{D5CDD505-2E9C-101B-9397-08002B2CF9AE}" pid="17" name="TriggerFlowInfo">
    <vt:lpwstr/>
  </property>
</Properties>
</file>