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https://olddominion-my.sharepoint.com/personal/ahenken_odu_edu/Documents/6yp prep/final schev submission/"/>
    </mc:Choice>
  </mc:AlternateContent>
  <xr:revisionPtr revIDLastSave="0" documentId="8_{A3A26EF0-420A-4AED-A676-2303A0A95E39}" xr6:coauthVersionLast="47" xr6:coauthVersionMax="47" xr10:uidLastSave="{00000000-0000-0000-0000-000000000000}"/>
  <bookViews>
    <workbookView xWindow="28680" yWindow="-120" windowWidth="29040" windowHeight="15840" tabRatio="659" activeTab="8"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'4-Academic-Financial'!$A$1:$Q$35</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 i="34" l="1"/>
  <c r="I29" i="5"/>
  <c r="J29" i="5"/>
  <c r="K29" i="5"/>
  <c r="L29" i="5"/>
  <c r="M29" i="5"/>
  <c r="N29" i="5"/>
  <c r="O29" i="5"/>
  <c r="P29" i="5"/>
  <c r="F29" i="5"/>
  <c r="G29" i="5"/>
  <c r="H29" i="5"/>
  <c r="E29" i="5"/>
  <c r="G82" i="28"/>
  <c r="F82" i="28"/>
  <c r="E82" i="28"/>
  <c r="G81" i="28"/>
  <c r="F81" i="28"/>
  <c r="E81" i="28"/>
  <c r="G68" i="28"/>
  <c r="F68" i="28"/>
  <c r="E68" i="28"/>
  <c r="C68" i="28"/>
  <c r="C43" i="28"/>
  <c r="C42" i="28"/>
  <c r="G30" i="28"/>
  <c r="F30" i="28"/>
  <c r="E30" i="28"/>
  <c r="G29" i="28"/>
  <c r="F29" i="28"/>
  <c r="E29" i="28"/>
  <c r="C30" i="28"/>
  <c r="C29" i="28"/>
  <c r="G17" i="28"/>
  <c r="F17" i="28"/>
  <c r="E17" i="28"/>
  <c r="G16" i="28"/>
  <c r="F16" i="28"/>
  <c r="C17" i="28"/>
  <c r="E11" i="2"/>
  <c r="C20" i="2"/>
  <c r="B20" i="2"/>
  <c r="C19" i="2"/>
  <c r="B19" i="2"/>
  <c r="C18" i="2"/>
  <c r="B18" i="2"/>
  <c r="C17" i="2"/>
  <c r="B17" i="2"/>
  <c r="C16" i="2"/>
  <c r="B16" i="2"/>
  <c r="C15" i="2"/>
  <c r="B15" i="2"/>
  <c r="C14" i="2"/>
  <c r="B14" i="2"/>
  <c r="C13" i="2"/>
  <c r="B13" i="2"/>
  <c r="C12" i="2"/>
  <c r="B12" i="2"/>
  <c r="C11" i="2"/>
  <c r="B11" i="2"/>
  <c r="Q7" i="2"/>
  <c r="Q8" i="2"/>
  <c r="Q9" i="2"/>
  <c r="Q10" i="2"/>
  <c r="Q11" i="2"/>
  <c r="Q12" i="2"/>
  <c r="Q13" i="2"/>
  <c r="Q14" i="2"/>
  <c r="Q15" i="2"/>
  <c r="Q16" i="2"/>
  <c r="Q17" i="2"/>
  <c r="Q19" i="2"/>
  <c r="Q20" i="2"/>
  <c r="Q21" i="2"/>
  <c r="Q22" i="2"/>
  <c r="Q23" i="2"/>
  <c r="Q24" i="2"/>
  <c r="Q25" i="2"/>
  <c r="Q26" i="2"/>
  <c r="D12" i="21" l="1"/>
  <c r="E12" i="21"/>
  <c r="F12" i="21"/>
  <c r="G12" i="21"/>
  <c r="D13" i="21"/>
  <c r="E13" i="21"/>
  <c r="F13" i="21"/>
  <c r="G13" i="21"/>
  <c r="D14" i="21"/>
  <c r="E14" i="21"/>
  <c r="F14" i="21"/>
  <c r="G14" i="21"/>
  <c r="D15" i="21"/>
  <c r="E15" i="21"/>
  <c r="F15" i="21"/>
  <c r="G15" i="21"/>
  <c r="D16" i="21"/>
  <c r="E16" i="21"/>
  <c r="F16" i="21"/>
  <c r="G16" i="21"/>
  <c r="D17" i="21"/>
  <c r="E17" i="21"/>
  <c r="F17" i="21"/>
  <c r="G17" i="21"/>
  <c r="D18" i="21"/>
  <c r="E18" i="21"/>
  <c r="F18" i="21"/>
  <c r="G18" i="21"/>
  <c r="D19" i="21"/>
  <c r="E19" i="21"/>
  <c r="F19" i="21"/>
  <c r="G19" i="21"/>
  <c r="D20" i="21"/>
  <c r="E20" i="21"/>
  <c r="F20" i="21"/>
  <c r="G20" i="21"/>
  <c r="D21" i="21"/>
  <c r="E21" i="21"/>
  <c r="F21" i="21"/>
  <c r="G21" i="21"/>
  <c r="L6" i="5" l="1"/>
  <c r="D14" i="34"/>
  <c r="C14" i="34"/>
  <c r="D31" i="34" l="1"/>
  <c r="O24" i="2" l="1"/>
  <c r="M24" i="2"/>
  <c r="K24" i="2"/>
  <c r="I24" i="2"/>
  <c r="G24" i="2"/>
  <c r="E24" i="2"/>
  <c r="C24" i="2"/>
  <c r="B24" i="2"/>
  <c r="D24" i="2" s="1"/>
  <c r="J10" i="34" l="1"/>
  <c r="J24" i="2"/>
  <c r="P10" i="34"/>
  <c r="P24" i="2"/>
  <c r="N24" i="2"/>
  <c r="N10" i="34"/>
  <c r="L24" i="2"/>
  <c r="L10" i="34"/>
  <c r="H10" i="34"/>
  <c r="H24" i="2"/>
  <c r="F10" i="34"/>
  <c r="E26" i="2"/>
  <c r="C10" i="34"/>
  <c r="F24" i="2"/>
  <c r="J34" i="5"/>
  <c r="I34" i="5"/>
  <c r="B26" i="2"/>
  <c r="C26" i="2"/>
  <c r="R24" i="2"/>
  <c r="D10" i="34"/>
  <c r="A2" i="34"/>
  <c r="G108" i="28"/>
  <c r="F108" i="28"/>
  <c r="E108" i="28"/>
  <c r="C108" i="28"/>
  <c r="D108" i="28" s="1"/>
  <c r="G107" i="28"/>
  <c r="F107" i="28"/>
  <c r="E107" i="28"/>
  <c r="C107" i="28"/>
  <c r="D107" i="28" s="1"/>
  <c r="D106" i="28"/>
  <c r="D105" i="28"/>
  <c r="D104" i="28"/>
  <c r="G95" i="28"/>
  <c r="F95" i="28"/>
  <c r="E95" i="28"/>
  <c r="C95" i="28"/>
  <c r="D95" i="28" s="1"/>
  <c r="G94" i="28"/>
  <c r="F94" i="28"/>
  <c r="E94" i="28"/>
  <c r="C94" i="28"/>
  <c r="D94" i="28" s="1"/>
  <c r="D93" i="28"/>
  <c r="D92" i="28"/>
  <c r="D91" i="28"/>
  <c r="D90" i="28"/>
  <c r="C82" i="28"/>
  <c r="D82" i="28" s="1"/>
  <c r="C81" i="28"/>
  <c r="D81" i="28" s="1"/>
  <c r="D80" i="28"/>
  <c r="D79" i="28"/>
  <c r="D78" i="28"/>
  <c r="G69" i="28"/>
  <c r="F69" i="28"/>
  <c r="E69" i="28"/>
  <c r="C69" i="28"/>
  <c r="D69" i="28" s="1"/>
  <c r="D68" i="28"/>
  <c r="D67" i="28"/>
  <c r="D66" i="28"/>
  <c r="D65" i="28"/>
  <c r="C8" i="34"/>
  <c r="H23" i="2"/>
  <c r="L23" i="2"/>
  <c r="J23" i="2"/>
  <c r="N23" i="2"/>
  <c r="P23" i="2"/>
  <c r="E25" i="2"/>
  <c r="R10" i="34" l="1"/>
  <c r="S10" i="34" s="1"/>
  <c r="C13" i="34"/>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G25" i="2"/>
  <c r="G26" i="2" s="1"/>
  <c r="D8" i="34"/>
  <c r="F25" i="2"/>
  <c r="D25" i="2"/>
  <c r="E8" i="34"/>
  <c r="L8" i="34" l="1"/>
  <c r="J8" i="34"/>
  <c r="P8" i="34"/>
  <c r="R8" i="34" s="1"/>
  <c r="S8" i="34" s="1"/>
  <c r="N8" i="34"/>
  <c r="H25" i="2"/>
  <c r="C23" i="34"/>
  <c r="C17" i="34"/>
  <c r="D13" i="34"/>
  <c r="D12" i="34"/>
  <c r="E12" i="34" s="1"/>
  <c r="E13" i="34"/>
  <c r="I25" i="2"/>
  <c r="I26" i="2" s="1"/>
  <c r="J25" i="2"/>
  <c r="E23" i="34" l="1"/>
  <c r="D17" i="34"/>
  <c r="D23" i="34"/>
  <c r="E17" i="34"/>
  <c r="C18" i="34"/>
  <c r="F23" i="34"/>
  <c r="K25" i="2"/>
  <c r="K26" i="2" s="1"/>
  <c r="L25" i="2" l="1"/>
  <c r="C36" i="34"/>
  <c r="C25" i="34"/>
  <c r="G23" i="34"/>
  <c r="C35" i="34"/>
  <c r="C24" i="34"/>
  <c r="C34" i="34"/>
  <c r="D18" i="34"/>
  <c r="H23" i="34"/>
  <c r="I23" i="34"/>
  <c r="M25" i="2"/>
  <c r="M26" i="2" s="1"/>
  <c r="N25" i="2" l="1"/>
  <c r="D36" i="34"/>
  <c r="D25" i="34"/>
  <c r="C37" i="34"/>
  <c r="S36" i="34"/>
  <c r="R36" i="34"/>
  <c r="E36" i="34"/>
  <c r="E25" i="34"/>
  <c r="D34" i="34"/>
  <c r="G34" i="34" s="1"/>
  <c r="D24" i="34"/>
  <c r="E24" i="34" s="1"/>
  <c r="D35" i="34"/>
  <c r="E18" i="34"/>
  <c r="E34" i="34"/>
  <c r="S34" i="34"/>
  <c r="R34" i="34"/>
  <c r="J23" i="34"/>
  <c r="K23" i="34"/>
  <c r="O25" i="2"/>
  <c r="R25" i="2" l="1"/>
  <c r="O26" i="2"/>
  <c r="Q18" i="2" s="1"/>
  <c r="P25" i="2"/>
  <c r="G36" i="34"/>
  <c r="D37" i="34"/>
  <c r="E37" i="34"/>
  <c r="E35" i="34"/>
  <c r="L23" i="34"/>
  <c r="M23" i="34"/>
  <c r="B64" i="28"/>
  <c r="B77" i="28"/>
  <c r="B90" i="28"/>
  <c r="B103" i="28"/>
  <c r="B104" i="28"/>
  <c r="H104" i="28" s="1"/>
  <c r="I104" i="28" s="1"/>
  <c r="B105" i="28"/>
  <c r="H105" i="28" s="1"/>
  <c r="I105" i="28" s="1"/>
  <c r="B106" i="28"/>
  <c r="H106" i="28" s="1"/>
  <c r="I106" i="28" s="1"/>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F23" i="2"/>
  <c r="E16" i="29"/>
  <c r="F16" i="29" s="1"/>
  <c r="C16" i="29"/>
  <c r="D16" i="29" s="1"/>
  <c r="B16" i="29"/>
  <c r="E12" i="29"/>
  <c r="F12" i="29" s="1"/>
  <c r="C12" i="29"/>
  <c r="D12" i="29" s="1"/>
  <c r="B12" i="29"/>
  <c r="F13" i="29"/>
  <c r="F14" i="29"/>
  <c r="F15" i="29"/>
  <c r="D13" i="29"/>
  <c r="D14" i="29"/>
  <c r="D15" i="29"/>
  <c r="N23" i="34" l="1"/>
  <c r="O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B83" i="28"/>
  <c r="H77" i="28"/>
  <c r="P10" i="2"/>
  <c r="B93" i="28"/>
  <c r="H93" i="28" s="1"/>
  <c r="I93" i="28" s="1"/>
  <c r="L11" i="2"/>
  <c r="B68" i="28"/>
  <c r="H68" i="28" s="1"/>
  <c r="I68" i="28" s="1"/>
  <c r="L9" i="2"/>
  <c r="B66" i="28"/>
  <c r="H66" i="28" s="1"/>
  <c r="I66" i="28" s="1"/>
  <c r="H64" i="28"/>
  <c r="P7" i="2"/>
  <c r="N7" i="2"/>
  <c r="L7" i="2"/>
  <c r="M22" i="2"/>
  <c r="P22" i="2" s="1"/>
  <c r="D23" i="2"/>
  <c r="R23" i="2"/>
  <c r="O22" i="2"/>
  <c r="K22" i="2"/>
  <c r="N22" i="2" s="1"/>
  <c r="I22" i="2"/>
  <c r="L22" i="2" s="1"/>
  <c r="P23" i="34" l="1"/>
  <c r="Q23" i="34"/>
  <c r="P15" i="34"/>
  <c r="L15" i="34"/>
  <c r="N15" i="34"/>
  <c r="B70" i="28"/>
  <c r="H83" i="28"/>
  <c r="I83" i="28" s="1"/>
  <c r="L9" i="34" s="1"/>
  <c r="I77" i="28"/>
  <c r="B96" i="28"/>
  <c r="B109" i="28"/>
  <c r="I64" i="28"/>
  <c r="H70" i="28"/>
  <c r="I70" i="28" s="1"/>
  <c r="J9" i="34" s="1"/>
  <c r="M9" i="34" s="1"/>
  <c r="I90" i="28"/>
  <c r="H96" i="28"/>
  <c r="I96" i="28" s="1"/>
  <c r="N9" i="34" s="1"/>
  <c r="I103" i="28"/>
  <c r="H109" i="28"/>
  <c r="I109" i="28" s="1"/>
  <c r="P9" i="34" s="1"/>
  <c r="E14" i="34"/>
  <c r="P26" i="2"/>
  <c r="N26" i="2"/>
  <c r="S23" i="34" l="1"/>
  <c r="R23" i="34"/>
  <c r="J15" i="34"/>
  <c r="M15" i="34" s="1"/>
  <c r="Q9" i="34"/>
  <c r="O9" i="34"/>
  <c r="Q15" i="34"/>
  <c r="O15" i="34"/>
  <c r="O10" i="34"/>
  <c r="Q10" i="34"/>
  <c r="N11" i="34"/>
  <c r="P11" i="34"/>
  <c r="L26" i="2"/>
  <c r="Q11" i="34" l="1"/>
  <c r="M10" i="34"/>
  <c r="L11" i="34"/>
  <c r="O11" i="34" l="1"/>
  <c r="D10" i="29" l="1"/>
  <c r="F10" i="29"/>
  <c r="D11" i="29"/>
  <c r="F11" i="29"/>
  <c r="F9" i="29" l="1"/>
  <c r="D9" i="29"/>
  <c r="A2" i="29" l="1"/>
  <c r="A2" i="28" l="1"/>
  <c r="G56" i="28"/>
  <c r="F56" i="28"/>
  <c r="E56" i="28"/>
  <c r="C56" i="28"/>
  <c r="D56" i="28" s="1"/>
  <c r="G55" i="28"/>
  <c r="F55" i="28"/>
  <c r="E55" i="28"/>
  <c r="C55" i="28"/>
  <c r="D55" i="28" s="1"/>
  <c r="D54" i="28"/>
  <c r="D53" i="28"/>
  <c r="D52" i="28"/>
  <c r="G43" i="28"/>
  <c r="F43" i="28"/>
  <c r="E43" i="28"/>
  <c r="D43" i="28"/>
  <c r="G42" i="28"/>
  <c r="F42" i="28"/>
  <c r="E42" i="28"/>
  <c r="D42" i="28"/>
  <c r="D41" i="28"/>
  <c r="D40" i="28"/>
  <c r="D39" i="28"/>
  <c r="D38" i="28"/>
  <c r="D30" i="28"/>
  <c r="D29" i="28"/>
  <c r="D28" i="28"/>
  <c r="D27" i="28"/>
  <c r="D26" i="28"/>
  <c r="D17" i="28"/>
  <c r="D16" i="28"/>
  <c r="D15" i="28"/>
  <c r="D14" i="28"/>
  <c r="J12" i="28"/>
  <c r="K12" i="28" s="1"/>
  <c r="D12" i="28"/>
  <c r="F44" i="28" l="1"/>
  <c r="G57" i="28"/>
  <c r="F18" i="28"/>
  <c r="C18" i="28"/>
  <c r="D18" i="28" s="1"/>
  <c r="G31" i="28"/>
  <c r="C57" i="28"/>
  <c r="D57" i="28" s="1"/>
  <c r="D13" i="28"/>
  <c r="C31" i="28"/>
  <c r="D31" i="28" s="1"/>
  <c r="J38" i="28"/>
  <c r="K38" i="28" s="1"/>
  <c r="D51" i="28"/>
  <c r="J51" i="28"/>
  <c r="K51" i="28" s="1"/>
  <c r="E18" i="28"/>
  <c r="D25" i="28"/>
  <c r="J25" i="28"/>
  <c r="K25" i="28" s="1"/>
  <c r="C44" i="28"/>
  <c r="D44" i="28" s="1"/>
  <c r="G44" i="28"/>
  <c r="F57" i="28"/>
  <c r="G18" i="28"/>
  <c r="E31" i="28"/>
  <c r="E44" i="28"/>
  <c r="E57" i="28"/>
  <c r="F31" i="28"/>
  <c r="F23" i="21" l="1"/>
  <c r="F22" i="21"/>
  <c r="D23" i="21"/>
  <c r="D22" i="21"/>
  <c r="H34" i="2"/>
  <c r="F34" i="2"/>
  <c r="D34" i="2"/>
  <c r="H32" i="2"/>
  <c r="H31" i="2"/>
  <c r="F32" i="2"/>
  <c r="F31" i="2"/>
  <c r="D32" i="2"/>
  <c r="D31" i="2"/>
  <c r="G23" i="21"/>
  <c r="E23" i="21"/>
  <c r="G22" i="21"/>
  <c r="E22" i="21"/>
  <c r="A2" i="21"/>
  <c r="A2" i="5"/>
  <c r="G11" i="2"/>
  <c r="J11" i="2" s="1"/>
  <c r="G12" i="2"/>
  <c r="J12" i="2" s="1"/>
  <c r="G13" i="2"/>
  <c r="J13" i="2" s="1"/>
  <c r="G14" i="2"/>
  <c r="J14" i="2" s="1"/>
  <c r="G15" i="2"/>
  <c r="J15" i="2" s="1"/>
  <c r="G16" i="2"/>
  <c r="J16" i="2" s="1"/>
  <c r="G17" i="2"/>
  <c r="J17" i="2" s="1"/>
  <c r="G18" i="2"/>
  <c r="J18" i="2" s="1"/>
  <c r="G19" i="2"/>
  <c r="J19" i="2" s="1"/>
  <c r="G20" i="2"/>
  <c r="J20" i="2" s="1"/>
  <c r="H11" i="2"/>
  <c r="E13" i="2"/>
  <c r="H13" i="2" s="1"/>
  <c r="E15" i="2"/>
  <c r="H15" i="2" s="1"/>
  <c r="E17" i="2"/>
  <c r="H17" i="2" s="1"/>
  <c r="E19" i="2"/>
  <c r="H19" i="2" s="1"/>
  <c r="E12" i="2"/>
  <c r="H12" i="2" s="1"/>
  <c r="E14" i="2"/>
  <c r="H14" i="2" s="1"/>
  <c r="E16" i="2"/>
  <c r="H16" i="2" s="1"/>
  <c r="E18" i="2"/>
  <c r="H18" i="2" s="1"/>
  <c r="E20" i="2"/>
  <c r="H20" i="2" s="1"/>
  <c r="F11" i="2"/>
  <c r="F12" i="2"/>
  <c r="F13" i="2"/>
  <c r="F14" i="2"/>
  <c r="F16" i="2"/>
  <c r="F18" i="2"/>
  <c r="F20" i="2"/>
  <c r="F15" i="2"/>
  <c r="F17" i="2"/>
  <c r="F19" i="2"/>
  <c r="R9"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16" i="34"/>
  <c r="H16" i="34"/>
  <c r="J16" i="34" s="1"/>
  <c r="H6"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24" i="21"/>
  <c r="B51" i="28"/>
  <c r="H51" i="28" s="1"/>
  <c r="I51" i="28" s="1"/>
  <c r="C33" i="2"/>
  <c r="F33" i="2" s="1"/>
  <c r="B38" i="28"/>
  <c r="H38" i="28" s="1"/>
  <c r="I38" i="28" s="1"/>
  <c r="B25" i="28"/>
  <c r="H25" i="28" s="1"/>
  <c r="I25" i="28" s="1"/>
  <c r="G33" i="2"/>
  <c r="B29" i="28"/>
  <c r="H29" i="28" s="1"/>
  <c r="I29" i="28" s="1"/>
  <c r="B17" i="28"/>
  <c r="H17" i="28" s="1"/>
  <c r="I17" i="28" s="1"/>
  <c r="B56" i="28"/>
  <c r="H56" i="28" s="1"/>
  <c r="I56" i="28" s="1"/>
  <c r="E33" i="2"/>
  <c r="H33" i="2" s="1"/>
  <c r="B30" i="28"/>
  <c r="H30" i="28" s="1"/>
  <c r="I30" i="28" s="1"/>
  <c r="B42" i="28"/>
  <c r="H42" i="28" s="1"/>
  <c r="I42" i="28" s="1"/>
  <c r="B16" i="28"/>
  <c r="H16" i="28" s="1"/>
  <c r="I16" i="28" s="1"/>
  <c r="B43" i="28"/>
  <c r="H43" i="28" s="1"/>
  <c r="I43" i="28" s="1"/>
  <c r="B55" i="28"/>
  <c r="H55" i="28" s="1"/>
  <c r="I55" i="28" s="1"/>
  <c r="B33" i="2"/>
  <c r="I16" i="34" l="1"/>
  <c r="L16" i="34"/>
  <c r="J14" i="34"/>
  <c r="D33" i="2"/>
  <c r="H8" i="34"/>
  <c r="F15" i="34"/>
  <c r="H15" i="34"/>
  <c r="H14" i="34" s="1"/>
  <c r="D22" i="2"/>
  <c r="R22" i="2"/>
  <c r="D21" i="2"/>
  <c r="R21" i="2"/>
  <c r="R26" i="2"/>
  <c r="B18" i="28"/>
  <c r="B31" i="28"/>
  <c r="B44" i="28"/>
  <c r="H44" i="28"/>
  <c r="I44" i="28" s="1"/>
  <c r="F9" i="34" s="1"/>
  <c r="I9" i="34" s="1"/>
  <c r="H18" i="28"/>
  <c r="I18" i="28" s="1"/>
  <c r="C9" i="34" s="1"/>
  <c r="R9" i="34" s="1"/>
  <c r="S9" i="34" s="1"/>
  <c r="H57" i="28"/>
  <c r="I57" i="28" s="1"/>
  <c r="H9" i="34" s="1"/>
  <c r="K9" i="34" s="1"/>
  <c r="H31" i="28"/>
  <c r="I31" i="28" s="1"/>
  <c r="D9" i="34" s="1"/>
  <c r="G9" i="34" s="1"/>
  <c r="B57" i="28"/>
  <c r="N16" i="34" l="1"/>
  <c r="L14" i="34"/>
  <c r="R15" i="34"/>
  <c r="F14" i="34"/>
  <c r="G14" i="34" s="1"/>
  <c r="J12" i="34"/>
  <c r="M8" i="34"/>
  <c r="J13" i="34"/>
  <c r="L12" i="34"/>
  <c r="L13" i="34"/>
  <c r="O8" i="34"/>
  <c r="P13" i="34"/>
  <c r="R13" i="34" s="1"/>
  <c r="S13" i="34" s="1"/>
  <c r="P12" i="34"/>
  <c r="R12" i="34" s="1"/>
  <c r="S12" i="34" s="1"/>
  <c r="N13" i="34"/>
  <c r="Q8" i="34"/>
  <c r="N12" i="34"/>
  <c r="H13" i="34"/>
  <c r="K13" i="34" s="1"/>
  <c r="H12" i="34"/>
  <c r="K8" i="34"/>
  <c r="F13" i="34"/>
  <c r="G13" i="34" s="1"/>
  <c r="I8" i="34"/>
  <c r="F12" i="34"/>
  <c r="K15" i="34"/>
  <c r="I15" i="34"/>
  <c r="E9" i="34"/>
  <c r="D26" i="2"/>
  <c r="G10" i="34"/>
  <c r="H26" i="2"/>
  <c r="K10" i="34"/>
  <c r="J11" i="34"/>
  <c r="J26" i="2"/>
  <c r="F26" i="2"/>
  <c r="O13" i="34" l="1"/>
  <c r="O12" i="34"/>
  <c r="M13" i="34"/>
  <c r="K12" i="34"/>
  <c r="Q13" i="34"/>
  <c r="I13" i="34"/>
  <c r="P16" i="34"/>
  <c r="P14" i="34" s="1"/>
  <c r="R14" i="34" s="1"/>
  <c r="S14" i="34" s="1"/>
  <c r="N14" i="34"/>
  <c r="Q12" i="34"/>
  <c r="M12" i="34"/>
  <c r="I12" i="34"/>
  <c r="G12" i="34"/>
  <c r="F17" i="34"/>
  <c r="I14" i="34"/>
  <c r="M11" i="34"/>
  <c r="H11" i="34"/>
  <c r="D11" i="34"/>
  <c r="E10" i="34"/>
  <c r="I10" i="34"/>
  <c r="F11" i="34"/>
  <c r="G17" i="34" l="1"/>
  <c r="F18" i="34"/>
  <c r="R18" i="34" s="1"/>
  <c r="G11" i="34"/>
  <c r="R11" i="34"/>
  <c r="H17" i="34"/>
  <c r="H18" i="34" s="1"/>
  <c r="K14" i="34"/>
  <c r="K11" i="34"/>
  <c r="I11" i="34"/>
  <c r="H36" i="34" l="1"/>
  <c r="H25" i="34"/>
  <c r="F25" i="34"/>
  <c r="F36" i="34"/>
  <c r="I18" i="34"/>
  <c r="H24" i="34"/>
  <c r="H35" i="34"/>
  <c r="F35" i="34"/>
  <c r="F24" i="34"/>
  <c r="H34" i="34"/>
  <c r="K34" i="34" s="1"/>
  <c r="G18" i="34"/>
  <c r="F34" i="34"/>
  <c r="I34" i="34" s="1"/>
  <c r="J17" i="34"/>
  <c r="K17" i="34" s="1"/>
  <c r="M14" i="34"/>
  <c r="I17" i="34"/>
  <c r="I25" i="34" l="1"/>
  <c r="G25" i="34"/>
  <c r="I35" i="34"/>
  <c r="G35" i="34"/>
  <c r="I36" i="34"/>
  <c r="F37" i="34"/>
  <c r="G37" i="34" s="1"/>
  <c r="K36" i="34"/>
  <c r="H37" i="34"/>
  <c r="I24" i="34"/>
  <c r="G24" i="34"/>
  <c r="L17" i="34"/>
  <c r="M17" i="34" s="1"/>
  <c r="J18" i="34"/>
  <c r="O14" i="34"/>
  <c r="I37" i="34" l="1"/>
  <c r="J25" i="34"/>
  <c r="J36" i="34"/>
  <c r="K18" i="34"/>
  <c r="J35" i="34"/>
  <c r="J24" i="34"/>
  <c r="J34" i="34"/>
  <c r="M34" i="34" s="1"/>
  <c r="N17" i="34"/>
  <c r="O17" i="34" s="1"/>
  <c r="L18" i="34"/>
  <c r="Q14" i="34"/>
  <c r="K25" i="34" l="1"/>
  <c r="K35" i="34"/>
  <c r="M36" i="34"/>
  <c r="J37" i="34"/>
  <c r="L24" i="34"/>
  <c r="M24" i="34" s="1"/>
  <c r="L35" i="34"/>
  <c r="K24" i="34"/>
  <c r="L34" i="34"/>
  <c r="O34" i="34" s="1"/>
  <c r="M18" i="34"/>
  <c r="L36" i="34"/>
  <c r="L25" i="34"/>
  <c r="P17" i="34"/>
  <c r="Q17" i="34" s="1"/>
  <c r="N18" i="34"/>
  <c r="M25" i="34" l="1"/>
  <c r="M35" i="34"/>
  <c r="N36" i="34"/>
  <c r="N25" i="34"/>
  <c r="K37" i="34"/>
  <c r="N24" i="34"/>
  <c r="O24" i="34" s="1"/>
  <c r="N35" i="34"/>
  <c r="N34" i="34"/>
  <c r="Q34" i="34" s="1"/>
  <c r="R17" i="34"/>
  <c r="S17" i="34" s="1"/>
  <c r="O36" i="34"/>
  <c r="L37" i="34"/>
  <c r="O18" i="34"/>
  <c r="P35" i="34" l="1"/>
  <c r="P24" i="34"/>
  <c r="O25" i="34"/>
  <c r="O35" i="34"/>
  <c r="M37" i="34"/>
  <c r="P25" i="34"/>
  <c r="P36" i="34"/>
  <c r="Q36" i="34"/>
  <c r="N37" i="34"/>
  <c r="Q24" i="34"/>
  <c r="P34" i="34"/>
  <c r="S18" i="34"/>
  <c r="Q18" i="34"/>
  <c r="R25" i="34" l="1"/>
  <c r="S25" i="34"/>
  <c r="Q25" i="34"/>
  <c r="R35" i="34"/>
  <c r="S35" i="34"/>
  <c r="Q35" i="34"/>
  <c r="P37" i="34"/>
  <c r="Q37" i="34" s="1"/>
  <c r="O37" i="34"/>
  <c r="S24" i="34"/>
  <c r="R24" i="34"/>
  <c r="R37" i="34" l="1"/>
  <c r="S37" i="34"/>
</calcChain>
</file>

<file path=xl/sharedStrings.xml><?xml version="1.0" encoding="utf-8"?>
<sst xmlns="http://schemas.openxmlformats.org/spreadsheetml/2006/main" count="730" uniqueCount="374">
  <si>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</si>
  <si>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</si>
  <si>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</si>
  <si>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</si>
  <si>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</si>
  <si>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</si>
  <si>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</si>
  <si>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</si>
  <si>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</si>
  <si>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</si>
  <si>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</si>
  <si>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</si>
  <si>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</si>
  <si>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</si>
  <si>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</si>
  <si>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</si>
  <si>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</si>
  <si>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</si>
  <si>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</si>
  <si>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</si>
  <si>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</si>
  <si>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</si>
  <si>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</si>
  <si>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</si>
  <si>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</si>
  <si>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</si>
  <si>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</si>
  <si>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</si>
  <si>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</si>
  <si>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</si>
  <si>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</si>
  <si>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</si>
  <si>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</si>
  <si>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</si>
  <si>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</si>
  <si>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</si>
  <si>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</si>
  <si>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</si>
  <si>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</si>
  <si>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</si>
  <si>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</si>
  <si>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</si>
  <si>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</si>
  <si>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</si>
  <si>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</si>
  <si>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</si>
  <si>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</si>
  <si>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</si>
  <si>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</si>
  <si>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</si>
  <si>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</si>
  <si>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</si>
  <si>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</si>
  <si>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</si>
  <si>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</si>
  <si>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</si>
  <si>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</si>
  <si>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</si>
  <si>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</si>
  <si>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</si>
  <si>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</si>
  <si>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</si>
  <si>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</si>
  <si>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</si>
  <si>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</si>
  <si>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</si>
  <si>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</si>
  <si>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</si>
  <si>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</si>
  <si>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</si>
  <si>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</si>
  <si>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</si>
  <si>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</si>
  <si>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</si>
  <si>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</si>
  <si>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</si>
  <si>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</si>
  <si>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</si>
  <si>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</si>
  <si>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</si>
  <si>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</si>
  <si>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</si>
  <si>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</si>
  <si>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</si>
  <si>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</si>
  <si>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</si>
  <si>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</si>
  <si>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</si>
  <si>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</si>
  <si>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</si>
  <si>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</si>
  <si>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</si>
  <si>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</si>
  <si>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</si>
  <si>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</si>
  <si>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</si>
  <si>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</si>
  <si>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</si>
  <si>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Total Projected Tuition Revenue</t>
  </si>
  <si>
    <t>Total Calculated Tuition Revenue</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</si>
  <si>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</si>
  <si>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</si>
  <si>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</si>
  <si>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</si>
  <si>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</si>
  <si>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</si>
  <si>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</si>
  <si>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</si>
  <si>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</si>
  <si>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</si>
  <si>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</si>
  <si>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</si>
  <si>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</si>
  <si>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</si>
  <si>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</si>
  <si>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</si>
  <si>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</si>
  <si>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</si>
  <si>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</si>
  <si>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</si>
  <si>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</si>
  <si>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</si>
  <si>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</si>
  <si>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</si>
  <si>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</si>
  <si>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</si>
  <si>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</si>
  <si>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</si>
  <si>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</si>
  <si>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</si>
  <si>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</si>
  <si>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</si>
  <si>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</si>
  <si>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</si>
  <si>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</si>
  <si>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</si>
  <si>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</si>
  <si>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</si>
  <si>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</si>
  <si>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</si>
  <si>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</si>
  <si>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</si>
  <si>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</si>
  <si>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</si>
  <si>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</si>
  <si>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</si>
  <si>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</si>
  <si>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</si>
  <si>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</si>
  <si>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</si>
  <si>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</si>
  <si>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</si>
  <si>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</si>
  <si>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</si>
  <si>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</si>
  <si>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</si>
  <si>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</si>
  <si>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</si>
  <si>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</si>
  <si>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</si>
  <si>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</si>
  <si>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</si>
  <si>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</si>
  <si>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</si>
  <si>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</si>
  <si>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</si>
  <si>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</si>
  <si>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</si>
  <si>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</si>
  <si>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</si>
  <si>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</si>
  <si>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</si>
  <si>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</si>
  <si>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</si>
  <si>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</si>
  <si>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</si>
  <si>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</si>
  <si>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</si>
  <si>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</si>
  <si>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</si>
  <si>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</si>
  <si>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GTA Salaries</t>
  </si>
  <si>
    <t>Increase Adjunct Faculty Salaries</t>
  </si>
  <si>
    <t>3% annual state health insurance cost</t>
  </si>
  <si>
    <t>Inflationary non-personnel cost increases</t>
  </si>
  <si>
    <t>5.36% annual VITA charge increase</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</si>
  <si>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</si>
  <si>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</si>
  <si>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</si>
  <si>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</si>
  <si>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</si>
  <si>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</si>
  <si>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</si>
  <si>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</si>
  <si>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</si>
  <si>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</si>
  <si>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</si>
  <si>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</si>
  <si>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</si>
  <si>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</si>
  <si>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</si>
  <si>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</si>
  <si>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</si>
  <si>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</si>
  <si>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</si>
  <si>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</si>
  <si>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</si>
  <si>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</si>
  <si>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</si>
  <si>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</si>
  <si>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</si>
  <si>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</si>
  <si>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</si>
  <si>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</si>
  <si>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</si>
  <si>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</si>
  <si>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</si>
  <si>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</si>
  <si>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</si>
  <si>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</si>
  <si>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</si>
  <si>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</si>
  <si>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</si>
  <si>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</si>
  <si>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</si>
  <si>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</si>
  <si>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</si>
  <si>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</si>
  <si>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</si>
  <si>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</si>
  <si>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</si>
  <si>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</si>
  <si>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</si>
  <si>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</si>
  <si>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</si>
  <si>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</si>
  <si>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</si>
  <si>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</si>
  <si>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</si>
  <si>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</si>
  <si>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</si>
  <si>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</si>
  <si>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</si>
  <si>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</si>
  <si>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</si>
  <si>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</si>
  <si>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</si>
  <si>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</si>
  <si>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</si>
  <si>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</si>
  <si>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</si>
  <si>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</si>
  <si>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</si>
  <si>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</si>
  <si>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</si>
  <si>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</si>
  <si>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</si>
  <si>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</si>
  <si>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</si>
  <si>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</si>
  <si>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</si>
  <si>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</si>
  <si>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</si>
  <si>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</si>
  <si>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</si>
  <si>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</si>
  <si>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</si>
  <si>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</si>
  <si>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</si>
  <si>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</si>
  <si>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</si>
  <si>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</si>
  <si>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</si>
  <si>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</si>
  <si>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</si>
  <si>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</si>
  <si>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</si>
  <si>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</si>
  <si>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</si>
  <si>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</si>
  <si>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</si>
  <si>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</si>
  <si>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</si>
  <si>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</si>
  <si>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</si>
  <si>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</si>
  <si>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</si>
  <si>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</si>
  <si>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</si>
  <si>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</si>
  <si>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</si>
  <si>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</si>
  <si>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</si>
  <si>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</si>
  <si>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</si>
  <si>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</si>
  <si>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</si>
  <si>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</si>
  <si>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</si>
  <si>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</si>
  <si>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</si>
  <si>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</si>
  <si>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</si>
  <si>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</si>
  <si>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</si>
  <si>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</si>
  <si>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</si>
  <si>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</si>
  <si>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</si>
  <si>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</si>
  <si>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</si>
  <si>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</si>
  <si>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</si>
  <si>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</si>
  <si>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</si>
  <si>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</si>
  <si>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</si>
  <si>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</si>
  <si>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</si>
  <si>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</si>
  <si>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</si>
  <si>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</si>
  <si>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</si>
  <si>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</si>
  <si>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</si>
  <si>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</si>
  <si>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</si>
  <si>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</si>
  <si>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</si>
  <si>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</si>
  <si>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</si>
  <si>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</si>
  <si>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</si>
  <si>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</si>
  <si>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</si>
  <si>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</si>
  <si>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</si>
  <si>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</si>
  <si>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</si>
  <si>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</si>
  <si>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</si>
  <si>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</si>
  <si>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</si>
  <si>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</si>
  <si>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</si>
  <si>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Pro forma assumes 2% increase in each year</t>
  </si>
  <si>
    <t>Pro forma assumes 3% increase in each year</t>
  </si>
  <si>
    <t>Pro forma assumes 5.36% increase in each year</t>
  </si>
  <si>
    <t>Utilities, contracts, and leases</t>
  </si>
  <si>
    <t>Assumes 3% increase in each year</t>
  </si>
  <si>
    <t>Establish the Eastern Virginia Health Sciences Center</t>
  </si>
  <si>
    <t>Provide support for EVHSC academic programs to bolster enrollment, address health disparities in the Hampton Roads Region, and enhance faculty collaboration and research opportunities.</t>
  </si>
  <si>
    <t>Grow ODU as a Data Science Hub to Serve Student and Industry Demand in Hampton Roads</t>
  </si>
  <si>
    <t>Leverage the newly created School of Data Science to educate and graduate students into high-demand career opportunities in the region and provide a highly-skilled workforce to attract future industry investment.</t>
  </si>
  <si>
    <t xml:space="preserve">Promote Academic Innovation and High-Impact Experiences through Experiential Learning Opportunities </t>
  </si>
  <si>
    <t>Build out the Monarch Internship and Co-Op office in order to provide work-based learning and internship opportunities for every graduating student, and develop infrastructure to expand research opportunities for interested students.</t>
  </si>
  <si>
    <t>Expand Economic Impact Through Research Expansion</t>
  </si>
  <si>
    <t>Capitalize on R1 status to increase external research investment, targeting emerging research areas. Develop infrastructure to support faculty and incorporate arts and humanities into scholarship in sciences, engineering, and other fields.</t>
  </si>
  <si>
    <t>Maximize Student Access, Affordability, and Degree Completion</t>
  </si>
  <si>
    <t>Provide alternative pathways to degrees by growing fully-online enrollment. Invest in tutoring, career services, and support services to promote retention and on-time degree completion. Engage in a comprehensive review of the university's cost model to ensure cost-effectiveness.</t>
  </si>
  <si>
    <t>Provide support to address base funding disparity  </t>
  </si>
  <si>
    <t>Provide funding to offset VMSDP waivers </t>
  </si>
  <si>
    <t>The requested amount will make progress towards bringing the institution in line with other public institutions, and will allow for investment in targeted academic, research, and student success initiatives while mitigating need for tuition increases.</t>
  </si>
  <si>
    <t>As an institution that serves a large military population, growth in the VMSDP program has put a rapidly-growing strain on institutional resources ($1.79M in FY18 to $9.11M in FY23). The waivers are currently offset entirely by tuition revenue, as no general fund is provided.</t>
  </si>
  <si>
    <t>221</t>
  </si>
  <si>
    <t>Chad Reed, Vice President for Administration and Finance</t>
  </si>
  <si>
    <t>careed@odu.edu</t>
  </si>
  <si>
    <t>757-683-3464</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</si>
  <si>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</si>
  <si>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Chg.</t>
  </si>
  <si>
    <t>2022-2030 Chg.</t>
  </si>
  <si>
    <r>
      <rPr>
        <sz val="12"/>
        <color rgb="FF000000"/>
        <rFont val="Arial"/>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rPr>
      <t xml:space="preserve">                                                                  
</t>
    </r>
    <r>
      <rPr>
        <sz val="12"/>
        <color rgb="FF000000"/>
        <rFont val="Arial"/>
      </rPr>
      <t xml:space="preserve">Lines 5 and 6 are newly added to collect the estimated E&amp;G expenditures of 2022-23 and 2023-24 as baselines for Tab 5 Pro Forma.     
For the 2026-28 biennium and 2028-2030 biennium, total amounts should be provided as estimates of future expenditures on these items but delineation of reallocation vs. tuition revenue vs. GF does not need to be provided by the institution.
</t>
    </r>
    <r>
      <rPr>
        <sz val="12"/>
        <color rgb="FFFF0000"/>
        <rFont val="Arial"/>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</si>
  <si>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Total Chg.</t>
  </si>
  <si>
    <t>Avg Annual Chg.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</si>
</sst>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 numFmtId="169" formatCode="&quot;$&quot;#,##0.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rgb="FF000000"/>
      <name val="Arial"/>
    </font>
    <font>
      <b/>
      <sz val="12"/>
      <color rgb="FF000000"/>
      <name val="Arial"/>
    </font>
    <font>
      <sz val="12"/>
      <color rgb="FFFF0000"/>
      <name val="Arial"/>
    </font>
    <font>
      <sz val="12"/>
      <color theme="1"/>
      <name val="Calibri"/>
      <family val="2"/>
      <scheme val="minor"/>
    </font>
    <font>
      <b/>
      <sz val="12"/>
      <color theme="1"/>
      <name val="Calibri"/>
      <family val="2"/>
      <scheme val="minor"/>
    </font>
    <font>
      <sz val="10"/>
      <color theme="1"/>
      <name val="Calibri"/>
      <family val="2"/>
      <scheme val="minor"/>
    </font>
    <font>
      <b/>
      <sz val="12"/>
      <name val="Arial"/>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2F2F2"/>
        <bgColor rgb="FF000000"/>
      </patternFill>
    </fill>
    <fill>
      <patternFill patternType="solid">
        <fgColor rgb="FFFFFFFF"/>
        <bgColor rgb="FF000000"/>
      </patternFill>
    </fill>
    <fill>
      <patternFill patternType="solid">
        <fgColor rgb="FFBFBFBF"/>
        <bgColor rgb="FF000000"/>
      </patternFill>
    </fill>
    <fill>
      <patternFill patternType="solid">
        <fgColor rgb="FFA6A6A6"/>
        <bgColor rgb="FF000000"/>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9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164" fontId="13" fillId="6" borderId="7" xfId="1" applyNumberFormat="1" applyFont="1" applyFill="1" applyBorder="1" applyAlignment="1" applyProtection="1">
      <alignment horizontal="right" vertical="center"/>
      <protection locked="0"/>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5" fillId="0" borderId="1" xfId="0" applyFont="1" applyBorder="1"/>
    <xf numFmtId="0" fontId="75"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7" fillId="0" borderId="0" xfId="0" applyFont="1"/>
    <xf numFmtId="0" fontId="76" fillId="0" borderId="1" xfId="0" applyFont="1" applyBorder="1" applyAlignment="1">
      <alignment horizontal="center"/>
    </xf>
    <xf numFmtId="0" fontId="76" fillId="0" borderId="2" xfId="0" applyFont="1" applyBorder="1" applyAlignment="1">
      <alignment horizontal="center"/>
    </xf>
    <xf numFmtId="0" fontId="76"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6" fontId="0" fillId="0" borderId="57" xfId="0" applyNumberFormat="1" applyBorder="1"/>
    <xf numFmtId="6" fontId="0" fillId="0" borderId="56" xfId="0" applyNumberFormat="1" applyBorder="1"/>
    <xf numFmtId="6" fontId="0" fillId="0" borderId="2" xfId="0" applyNumberFormat="1" applyBorder="1"/>
    <xf numFmtId="6" fontId="0" fillId="0" borderId="28" xfId="0" applyNumberFormat="1" applyBorder="1"/>
    <xf numFmtId="6" fontId="12" fillId="0" borderId="55" xfId="0" applyNumberFormat="1" applyFont="1" applyBorder="1"/>
    <xf numFmtId="6" fontId="12" fillId="0" borderId="3" xfId="0" applyNumberFormat="1" applyFont="1" applyBorder="1"/>
    <xf numFmtId="6" fontId="69" fillId="0" borderId="22" xfId="0" applyNumberFormat="1" applyFont="1" applyBorder="1" applyAlignment="1">
      <alignment horizontal="right" wrapText="1"/>
    </xf>
    <xf numFmtId="6" fontId="69" fillId="11" borderId="58" xfId="0" applyNumberFormat="1" applyFont="1" applyFill="1" applyBorder="1" applyAlignment="1">
      <alignment horizontal="right" vertical="center" wrapText="1"/>
    </xf>
    <xf numFmtId="6" fontId="69" fillId="11" borderId="9" xfId="0" applyNumberFormat="1" applyFont="1" applyFill="1" applyBorder="1" applyAlignment="1">
      <alignment horizontal="right" vertical="center" wrapText="1"/>
    </xf>
    <xf numFmtId="0" fontId="14" fillId="12" borderId="0" xfId="0" applyFont="1" applyFill="1" applyAlignment="1">
      <alignment vertical="center" wrapText="1"/>
    </xf>
    <xf numFmtId="0" fontId="13" fillId="13" borderId="57" xfId="0" applyFont="1" applyFill="1" applyBorder="1" applyAlignment="1">
      <alignment vertical="center"/>
    </xf>
    <xf numFmtId="164" fontId="69" fillId="11" borderId="56" xfId="0" applyNumberFormat="1" applyFont="1" applyFill="1" applyBorder="1" applyAlignment="1">
      <alignment horizontal="right" vertical="center" wrapText="1"/>
    </xf>
    <xf numFmtId="164" fontId="69" fillId="11" borderId="0" xfId="0" applyNumberFormat="1" applyFont="1" applyFill="1" applyAlignment="1">
      <alignment horizontal="right" vertical="center" wrapText="1"/>
    </xf>
    <xf numFmtId="164" fontId="69" fillId="14" borderId="64" xfId="0" applyNumberFormat="1" applyFont="1" applyFill="1" applyBorder="1" applyAlignment="1">
      <alignment horizontal="right" vertical="center" wrapText="1"/>
    </xf>
    <xf numFmtId="6" fontId="69" fillId="11" borderId="57" xfId="0" applyNumberFormat="1" applyFont="1" applyFill="1" applyBorder="1" applyAlignment="1">
      <alignment horizontal="right" vertical="center" wrapText="1"/>
    </xf>
    <xf numFmtId="0" fontId="12" fillId="11" borderId="57" xfId="0" applyFont="1" applyFill="1" applyBorder="1" applyAlignment="1">
      <alignment vertical="center" wrapText="1"/>
    </xf>
    <xf numFmtId="0" fontId="14" fillId="0" borderId="0" xfId="0" applyFont="1" applyAlignment="1">
      <alignment vertical="center" wrapText="1"/>
    </xf>
    <xf numFmtId="0" fontId="69" fillId="11" borderId="57" xfId="0" applyFont="1" applyFill="1" applyBorder="1" applyAlignment="1">
      <alignment horizontal="right" vertical="center" wrapText="1"/>
    </xf>
    <xf numFmtId="0" fontId="32" fillId="0" borderId="47" xfId="0" applyFont="1" applyBorder="1" applyAlignment="1">
      <alignment horizontal="center" vertical="center"/>
    </xf>
    <xf numFmtId="0" fontId="29" fillId="0" borderId="47" xfId="0" applyFont="1" applyBorder="1" applyAlignment="1">
      <alignment vertical="center" wrapText="1"/>
    </xf>
    <xf numFmtId="6" fontId="69" fillId="0" borderId="30" xfId="0" applyNumberFormat="1" applyFont="1" applyBorder="1" applyAlignment="1">
      <alignment horizontal="right" vertical="center" wrapText="1"/>
    </xf>
    <xf numFmtId="0" fontId="12" fillId="0" borderId="55" xfId="0" applyFont="1" applyBorder="1" applyAlignment="1">
      <alignment vertical="center" wrapText="1"/>
    </xf>
    <xf numFmtId="0" fontId="12" fillId="0" borderId="55" xfId="0" applyFont="1" applyBorder="1" applyAlignment="1">
      <alignment horizontal="left" vertical="center" wrapText="1"/>
    </xf>
    <xf numFmtId="169" fontId="14" fillId="6" borderId="28" xfId="0" applyNumberFormat="1" applyFont="1" applyFill="1" applyBorder="1" applyAlignment="1">
      <alignment vertical="center"/>
    </xf>
    <xf numFmtId="169" fontId="14" fillId="6" borderId="27" xfId="0" applyNumberFormat="1" applyFont="1" applyFill="1" applyBorder="1" applyAlignment="1">
      <alignment vertical="center"/>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16" fillId="0" borderId="55"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9" xfId="1" applyFont="1" applyBorder="1" applyAlignment="1">
      <alignment horizontal="center"/>
    </xf>
    <xf numFmtId="0" fontId="12" fillId="0" borderId="59" xfId="1" applyBorder="1" applyAlignment="1">
      <alignment horizontal="center"/>
    </xf>
    <xf numFmtId="0" fontId="43"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8"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reed@od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workbookViewId="0">
      <selection activeCell="A6" sqref="A6"/>
    </sheetView>
  </sheetViews>
  <sheetFormatPr defaultColWidth="164.42578125" defaultRowHeight="15" x14ac:dyDescent="0.2"/>
  <cols>
    <col min="1" max="1" width="170.5703125" style="63" customWidth="1"/>
    <col min="2" max="16384" width="164.42578125" style="63"/>
  </cols>
  <sheetData>
    <row r="1" spans="1:1" ht="21" customHeight="1" x14ac:dyDescent="0.2">
      <c r="A1" s="62" t="s">
        <v>0</v>
      </c>
    </row>
    <row r="2" spans="1:1" ht="21" customHeight="1" x14ac:dyDescent="0.2">
      <c r="A2" s="62" t="s">
        <v>1</v>
      </c>
    </row>
    <row r="3" spans="1:1" ht="21" customHeight="1" x14ac:dyDescent="0.2">
      <c r="A3" s="358" t="s">
        <v>2</v>
      </c>
    </row>
    <row r="4" spans="1:1" ht="16.350000000000001" customHeight="1" x14ac:dyDescent="0.2">
      <c r="A4" s="359"/>
    </row>
    <row r="5" spans="1:1" ht="21" customHeight="1" x14ac:dyDescent="0.2">
      <c r="A5" s="64" t="s">
        <v>3</v>
      </c>
    </row>
    <row r="6" spans="1:1" s="65" customFormat="1" ht="75" customHeight="1" x14ac:dyDescent="0.2">
      <c r="A6" s="74" t="s">
        <v>4</v>
      </c>
    </row>
    <row r="7" spans="1:1" s="66" customFormat="1" ht="21" customHeight="1" x14ac:dyDescent="0.2">
      <c r="A7" s="64" t="s">
        <v>5</v>
      </c>
    </row>
    <row r="8" spans="1:1" s="65" customFormat="1" ht="69.599999999999994" customHeight="1" x14ac:dyDescent="0.2">
      <c r="A8" s="360" t="s">
        <v>6</v>
      </c>
    </row>
    <row r="9" spans="1:1" s="65" customFormat="1" ht="54.6" customHeight="1" thickBot="1" x14ac:dyDescent="0.25">
      <c r="A9" s="67" t="s">
        <v>7</v>
      </c>
    </row>
    <row r="10" spans="1:1" s="65" customFormat="1" ht="33" customHeight="1" thickBot="1" x14ac:dyDescent="0.25">
      <c r="A10" s="68" t="s">
        <v>8</v>
      </c>
    </row>
    <row r="11" spans="1:1" s="65" customFormat="1" ht="23.45" customHeight="1" x14ac:dyDescent="0.2">
      <c r="A11" s="70" t="s">
        <v>9</v>
      </c>
    </row>
    <row r="12" spans="1:1" s="65" customFormat="1" ht="57" customHeight="1" x14ac:dyDescent="0.2">
      <c r="A12" s="71" t="s">
        <v>10</v>
      </c>
    </row>
    <row r="13" spans="1:1" s="69" customFormat="1" ht="21" customHeight="1" x14ac:dyDescent="0.2">
      <c r="A13" s="70" t="s">
        <v>11</v>
      </c>
    </row>
    <row r="14" spans="1:1" s="69" customFormat="1" ht="73.5" customHeight="1" x14ac:dyDescent="0.2">
      <c r="A14" s="74" t="s">
        <v>12</v>
      </c>
    </row>
    <row r="15" spans="1:1" s="69" customFormat="1" ht="50.1" customHeight="1" x14ac:dyDescent="0.2">
      <c r="A15" s="74" t="s">
        <v>13</v>
      </c>
    </row>
    <row r="16" spans="1:1" s="73" customFormat="1" ht="21" customHeight="1" x14ac:dyDescent="0.2">
      <c r="A16" s="72" t="s">
        <v>14</v>
      </c>
    </row>
    <row r="17" spans="1:18" s="69" customFormat="1" ht="100.5" customHeight="1" x14ac:dyDescent="0.2">
      <c r="A17" s="74" t="s">
        <v>15</v>
      </c>
    </row>
    <row r="18" spans="1:18" s="69" customFormat="1" ht="21" customHeight="1" x14ac:dyDescent="0.2">
      <c r="A18" s="70" t="s">
        <v>16</v>
      </c>
    </row>
    <row r="19" spans="1:18" s="69" customFormat="1" ht="353.25" customHeight="1" x14ac:dyDescent="0.2">
      <c r="A19" s="379" t="s">
        <v>17</v>
      </c>
      <c r="B19" s="361"/>
      <c r="C19" s="361"/>
      <c r="D19" s="361"/>
      <c r="E19" s="361"/>
      <c r="F19" s="361"/>
      <c r="G19" s="361"/>
      <c r="H19" s="361"/>
      <c r="I19" s="361"/>
      <c r="J19" s="361"/>
      <c r="K19" s="361"/>
      <c r="L19" s="361"/>
      <c r="M19" s="361"/>
      <c r="N19" s="361"/>
      <c r="O19" s="361"/>
    </row>
    <row r="20" spans="1:18" s="69" customFormat="1" ht="180" x14ac:dyDescent="0.2">
      <c r="A20" s="362" t="s">
        <v>18</v>
      </c>
      <c r="B20" s="361"/>
      <c r="C20" s="361"/>
      <c r="D20" s="361"/>
      <c r="E20" s="361"/>
      <c r="F20" s="361"/>
      <c r="G20" s="361"/>
      <c r="H20" s="361"/>
      <c r="I20" s="361"/>
      <c r="J20" s="361"/>
      <c r="K20" s="361"/>
      <c r="L20" s="361"/>
      <c r="M20" s="361"/>
      <c r="N20" s="361"/>
      <c r="O20" s="361"/>
    </row>
    <row r="21" spans="1:18" s="65" customFormat="1" ht="37.5" customHeight="1" x14ac:dyDescent="0.2">
      <c r="A21" s="363" t="s">
        <v>19</v>
      </c>
    </row>
    <row r="22" spans="1:18" s="65" customFormat="1" ht="33.6" customHeight="1" x14ac:dyDescent="0.2">
      <c r="A22" s="364" t="s">
        <v>20</v>
      </c>
    </row>
    <row r="23" spans="1:18" s="65" customFormat="1" ht="21" customHeight="1" x14ac:dyDescent="0.2">
      <c r="A23" s="365" t="s">
        <v>21</v>
      </c>
    </row>
    <row r="24" spans="1:18" s="65" customFormat="1" ht="21" customHeight="1" x14ac:dyDescent="0.2">
      <c r="A24" s="365" t="s">
        <v>22</v>
      </c>
    </row>
    <row r="25" spans="1:18" s="65" customFormat="1" ht="21" customHeight="1" x14ac:dyDescent="0.2">
      <c r="A25" s="366" t="s">
        <v>23</v>
      </c>
    </row>
    <row r="26" spans="1:18" s="73" customFormat="1" ht="21" customHeight="1" thickBot="1" x14ac:dyDescent="0.25">
      <c r="A26" s="70" t="s">
        <v>24</v>
      </c>
      <c r="B26" s="239"/>
      <c r="C26" s="239"/>
      <c r="D26" s="239"/>
      <c r="E26" s="239"/>
      <c r="F26" s="239"/>
      <c r="G26" s="239"/>
      <c r="H26" s="239"/>
    </row>
    <row r="27" spans="1:18" s="65" customFormat="1" ht="145.5" customHeight="1" x14ac:dyDescent="0.2">
      <c r="A27" s="367" t="s">
        <v>25</v>
      </c>
      <c r="B27" s="238"/>
      <c r="C27" s="238"/>
      <c r="D27" s="238"/>
      <c r="E27" s="238"/>
      <c r="F27" s="238"/>
      <c r="G27" s="238"/>
      <c r="H27" s="238"/>
      <c r="I27" s="238"/>
      <c r="J27" s="238"/>
      <c r="K27" s="238"/>
      <c r="L27" s="238"/>
      <c r="M27" s="238"/>
      <c r="N27" s="238"/>
      <c r="O27" s="238"/>
      <c r="P27" s="238"/>
      <c r="Q27" s="238"/>
      <c r="R27" s="238"/>
    </row>
    <row r="28" spans="1:18" s="65" customFormat="1" ht="21" customHeight="1" x14ac:dyDescent="0.2">
      <c r="A28" s="70" t="s">
        <v>26</v>
      </c>
    </row>
    <row r="29" spans="1:18" s="65" customFormat="1" ht="147.75" customHeight="1" x14ac:dyDescent="0.2">
      <c r="A29" s="368" t="s">
        <v>27</v>
      </c>
      <c r="B29" s="238"/>
      <c r="C29" s="238"/>
      <c r="D29" s="238"/>
      <c r="E29" s="238"/>
      <c r="F29" s="238"/>
      <c r="G29" s="238"/>
      <c r="H29" s="238"/>
    </row>
    <row r="30" spans="1:18" s="65" customFormat="1" ht="38.450000000000003" customHeight="1" x14ac:dyDescent="0.2">
      <c r="A30" s="71" t="s">
        <v>28</v>
      </c>
    </row>
    <row r="31" spans="1:18" s="65" customFormat="1" ht="69" customHeight="1" x14ac:dyDescent="0.2">
      <c r="A31" s="71" t="s">
        <v>29</v>
      </c>
    </row>
    <row r="32" spans="1:18" s="69" customFormat="1" ht="51.6" customHeight="1" x14ac:dyDescent="0.2">
      <c r="A32" s="74" t="s">
        <v>30</v>
      </c>
    </row>
    <row r="33" spans="1:1" s="69" customFormat="1" ht="21" customHeight="1" x14ac:dyDescent="0.2">
      <c r="A33" s="75" t="s">
        <v>31</v>
      </c>
    </row>
    <row r="34" spans="1:1" ht="21" customHeight="1" x14ac:dyDescent="0.2">
      <c r="A34" s="76" t="s">
        <v>32</v>
      </c>
    </row>
    <row r="35" spans="1:1" ht="21" customHeight="1" x14ac:dyDescent="0.2">
      <c r="A35" s="76" t="s">
        <v>33</v>
      </c>
    </row>
    <row r="36" spans="1:1" s="65" customFormat="1" ht="21" customHeight="1" x14ac:dyDescent="0.2">
      <c r="A36" s="76" t="s">
        <v>34</v>
      </c>
    </row>
    <row r="37" spans="1:1" s="65" customFormat="1" ht="21" customHeight="1" x14ac:dyDescent="0.2">
      <c r="A37" s="76" t="s">
        <v>35</v>
      </c>
    </row>
    <row r="38" spans="1:1" s="65" customFormat="1" ht="21" customHeight="1" x14ac:dyDescent="0.2">
      <c r="A38" s="76" t="s">
        <v>36</v>
      </c>
    </row>
    <row r="39" spans="1:1" s="65" customFormat="1" ht="21" customHeight="1" x14ac:dyDescent="0.2">
      <c r="A39" s="70" t="s">
        <v>37</v>
      </c>
    </row>
    <row r="40" spans="1:1" s="69" customFormat="1" ht="21" customHeight="1" x14ac:dyDescent="0.2">
      <c r="A40" s="77" t="s">
        <v>38</v>
      </c>
    </row>
    <row r="41" spans="1:1" s="79" customFormat="1" ht="145.35" customHeight="1" x14ac:dyDescent="0.2">
      <c r="A41" s="78" t="s">
        <v>39</v>
      </c>
    </row>
    <row r="42" spans="1:1" s="79" customFormat="1" ht="57.6" customHeight="1" x14ac:dyDescent="0.2">
      <c r="A42" s="78" t="s">
        <v>40</v>
      </c>
    </row>
    <row r="43" spans="1:1" s="79" customFormat="1" ht="64.349999999999994" customHeight="1" x14ac:dyDescent="0.2">
      <c r="A43" s="78" t="s">
        <v>41</v>
      </c>
    </row>
    <row r="44" spans="1:1" s="79" customFormat="1" ht="77.099999999999994" customHeight="1" x14ac:dyDescent="0.2">
      <c r="A44" s="78" t="s">
        <v>42</v>
      </c>
    </row>
    <row r="45" spans="1:1" s="79" customFormat="1" ht="28.35" customHeight="1" x14ac:dyDescent="0.2">
      <c r="A45" s="78" t="s">
        <v>43</v>
      </c>
    </row>
    <row r="46" spans="1:1" s="79" customFormat="1" ht="26.1" customHeight="1" x14ac:dyDescent="0.2">
      <c r="A46" s="80" t="s">
        <v>44</v>
      </c>
    </row>
    <row r="47" spans="1:1" s="79" customFormat="1" ht="36" customHeight="1" x14ac:dyDescent="0.2">
      <c r="A47" s="78" t="s">
        <v>45</v>
      </c>
    </row>
    <row r="48" spans="1:1" s="79" customFormat="1" ht="20.25" customHeight="1" x14ac:dyDescent="0.2">
      <c r="A48" s="78" t="s">
        <v>46</v>
      </c>
    </row>
    <row r="49" spans="1:1" s="79" customFormat="1" ht="21.6" customHeight="1" x14ac:dyDescent="0.2">
      <c r="A49" s="78" t="s">
        <v>47</v>
      </c>
    </row>
    <row r="50" spans="1:1" s="79" customFormat="1" ht="24.6" customHeight="1" x14ac:dyDescent="0.2">
      <c r="A50" s="80" t="s">
        <v>48</v>
      </c>
    </row>
    <row r="51" spans="1:1" s="79" customFormat="1" ht="17.45" customHeight="1" x14ac:dyDescent="0.2">
      <c r="A51" s="80" t="s">
        <v>49</v>
      </c>
    </row>
    <row r="52" spans="1:1" s="79" customFormat="1" ht="35.1" customHeight="1" x14ac:dyDescent="0.2">
      <c r="A52" s="80" t="s">
        <v>50</v>
      </c>
    </row>
    <row r="53" spans="1:1" s="79" customFormat="1" ht="57" customHeight="1" x14ac:dyDescent="0.2">
      <c r="A53" s="80" t="s">
        <v>51</v>
      </c>
    </row>
    <row r="54" spans="1:1" s="79" customFormat="1" ht="62.1" customHeight="1" x14ac:dyDescent="0.2">
      <c r="A54" s="80" t="s">
        <v>52</v>
      </c>
    </row>
    <row r="55" spans="1:1" s="79" customFormat="1" ht="107.1" customHeight="1" x14ac:dyDescent="0.2">
      <c r="A55" s="80" t="s">
        <v>53</v>
      </c>
    </row>
    <row r="56" spans="1:1" s="79" customFormat="1" ht="63" customHeight="1" x14ac:dyDescent="0.2">
      <c r="A56" s="80" t="s">
        <v>54</v>
      </c>
    </row>
    <row r="57" spans="1:1" s="79" customFormat="1" ht="24" customHeight="1" x14ac:dyDescent="0.2">
      <c r="A57" s="80" t="s">
        <v>55</v>
      </c>
    </row>
    <row r="58" spans="1:1" s="79" customFormat="1" ht="23.1" customHeight="1" x14ac:dyDescent="0.2">
      <c r="A58" s="80" t="s">
        <v>56</v>
      </c>
    </row>
    <row r="59" spans="1:1" s="65" customFormat="1" ht="85.5" x14ac:dyDescent="0.2">
      <c r="A59" s="80" t="s">
        <v>57</v>
      </c>
    </row>
    <row r="60" spans="1:1" s="65" customFormat="1" ht="51.6" customHeight="1" x14ac:dyDescent="0.2">
      <c r="A60" s="80" t="s">
        <v>58</v>
      </c>
    </row>
    <row r="61" spans="1:1" s="65" customFormat="1" ht="89.45" customHeight="1" x14ac:dyDescent="0.2">
      <c r="A61" s="80" t="s">
        <v>59</v>
      </c>
    </row>
    <row r="62" spans="1:1" s="65" customFormat="1" ht="32.450000000000003" customHeight="1" x14ac:dyDescent="0.2">
      <c r="A62" s="80" t="s">
        <v>60</v>
      </c>
    </row>
    <row r="63" spans="1:1" hidden="1" x14ac:dyDescent="0.2">
      <c r="A63" s="81"/>
    </row>
    <row r="64" spans="1:1" hidden="1" x14ac:dyDescent="0.2">
      <c r="A64" s="81"/>
    </row>
    <row r="65" spans="1:1" hidden="1" x14ac:dyDescent="0.2">
      <c r="A65" s="81"/>
    </row>
    <row r="66" spans="1:1" s="103" customFormat="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75" x14ac:dyDescent="0.2"/>
  <cols>
    <col min="1" max="1" width="40" bestFit="1" customWidth="1"/>
  </cols>
  <sheetData>
    <row r="1" spans="1:1" x14ac:dyDescent="0.2">
      <c r="A1" s="312" t="s">
        <v>250</v>
      </c>
    </row>
    <row r="2" spans="1:1" ht="15" x14ac:dyDescent="0.2">
      <c r="A2" s="310" t="s">
        <v>251</v>
      </c>
    </row>
    <row r="3" spans="1:1" ht="15" x14ac:dyDescent="0.2">
      <c r="A3" s="192" t="s">
        <v>252</v>
      </c>
    </row>
    <row r="4" spans="1:1" ht="15" x14ac:dyDescent="0.2">
      <c r="A4" s="310" t="s">
        <v>253</v>
      </c>
    </row>
    <row r="5" spans="1:1" ht="15" x14ac:dyDescent="0.2">
      <c r="A5" s="310" t="s">
        <v>254</v>
      </c>
    </row>
    <row r="6" spans="1:1" ht="15" x14ac:dyDescent="0.2">
      <c r="A6" s="309" t="s">
        <v>255</v>
      </c>
    </row>
    <row r="7" spans="1:1" ht="15" x14ac:dyDescent="0.2">
      <c r="A7" s="310" t="s">
        <v>256</v>
      </c>
    </row>
    <row r="8" spans="1:1" ht="15" x14ac:dyDescent="0.2">
      <c r="A8" s="311" t="s">
        <v>257</v>
      </c>
    </row>
    <row r="9" spans="1:1" ht="15" x14ac:dyDescent="0.2">
      <c r="A9" s="311" t="s">
        <v>258</v>
      </c>
    </row>
    <row r="10" spans="1:1" ht="15" x14ac:dyDescent="0.2">
      <c r="A10" s="313" t="s">
        <v>259</v>
      </c>
    </row>
    <row r="11" spans="1:1" ht="15" x14ac:dyDescent="0.2">
      <c r="A11" s="313" t="s">
        <v>260</v>
      </c>
    </row>
    <row r="12" spans="1:1" ht="15" x14ac:dyDescent="0.2">
      <c r="A12" s="311" t="s">
        <v>261</v>
      </c>
    </row>
    <row r="13" spans="1:1" ht="15" x14ac:dyDescent="0.2">
      <c r="A13" s="311" t="s">
        <v>262</v>
      </c>
    </row>
    <row r="14" spans="1:1" ht="15" x14ac:dyDescent="0.2">
      <c r="A14" s="311" t="s">
        <v>263</v>
      </c>
    </row>
    <row r="15" spans="1:1" ht="15" x14ac:dyDescent="0.2">
      <c r="A15" s="192" t="s">
        <v>264</v>
      </c>
    </row>
    <row r="16" spans="1:1" ht="15" x14ac:dyDescent="0.2">
      <c r="A16" s="192" t="s">
        <v>265</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37" t="str">
        <f>'Institution ID'!A1</f>
        <v>Six-Year Plans (2023): 2024-25 through 2029-30</v>
      </c>
      <c r="B1" s="437"/>
      <c r="C1" s="437"/>
      <c r="D1" s="437"/>
      <c r="E1" s="437"/>
      <c r="F1" s="437"/>
      <c r="G1" s="437"/>
      <c r="H1" s="437"/>
      <c r="I1" s="9"/>
      <c r="J1" s="8"/>
      <c r="K1" s="8"/>
      <c r="L1" s="8"/>
      <c r="M1" s="8"/>
    </row>
    <row r="2" spans="1:13" s="1" customFormat="1" ht="20.100000000000001" customHeight="1" x14ac:dyDescent="0.2">
      <c r="A2" s="381" t="str">
        <f>'Institution ID'!C3</f>
        <v>Old Dominion University</v>
      </c>
      <c r="B2" s="31"/>
      <c r="C2" s="31"/>
      <c r="D2" s="31"/>
      <c r="E2" s="31"/>
      <c r="F2" s="31"/>
      <c r="G2" s="31"/>
      <c r="H2" s="31"/>
      <c r="I2" s="31"/>
      <c r="J2" s="8"/>
      <c r="K2" s="8"/>
      <c r="L2" s="8"/>
      <c r="M2" s="8"/>
    </row>
    <row r="3" spans="1:13" ht="20.100000000000001" customHeight="1" x14ac:dyDescent="0.2">
      <c r="A3" s="30" t="s">
        <v>266</v>
      </c>
      <c r="B3" s="30"/>
      <c r="C3" s="30"/>
      <c r="D3" s="30"/>
      <c r="E3" s="30"/>
      <c r="F3" s="30"/>
      <c r="G3" s="30"/>
      <c r="H3" s="30"/>
      <c r="I3" s="30"/>
    </row>
    <row r="4" spans="1:13" ht="20.100000000000001" customHeight="1" x14ac:dyDescent="0.2">
      <c r="A4" s="30" t="s">
        <v>267</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45" t="s">
        <v>268</v>
      </c>
      <c r="B6" s="546"/>
      <c r="C6" s="546"/>
      <c r="D6" s="546"/>
      <c r="E6" s="546"/>
      <c r="F6" s="546"/>
      <c r="G6" s="546"/>
      <c r="H6" s="547"/>
      <c r="I6" s="15"/>
    </row>
    <row r="7" spans="1:13" s="1" customFormat="1" ht="20.100000000000001" customHeight="1" x14ac:dyDescent="0.2">
      <c r="A7" s="548" t="s">
        <v>269</v>
      </c>
      <c r="B7" s="549"/>
      <c r="C7" s="549"/>
      <c r="D7" s="549"/>
      <c r="E7" s="549"/>
      <c r="F7" s="549"/>
      <c r="G7" s="549"/>
      <c r="H7" s="550"/>
    </row>
    <row r="8" spans="1:13" s="1" customFormat="1" ht="20.100000000000001" customHeight="1" x14ac:dyDescent="0.2">
      <c r="A8" s="529" t="s">
        <v>270</v>
      </c>
      <c r="B8" s="529" t="s">
        <v>271</v>
      </c>
      <c r="C8" s="529"/>
      <c r="D8" s="529"/>
      <c r="E8" s="529" t="s">
        <v>272</v>
      </c>
      <c r="F8" s="529"/>
      <c r="G8" s="529"/>
      <c r="H8" s="556" t="s">
        <v>147</v>
      </c>
    </row>
    <row r="9" spans="1:13" s="1" customFormat="1" ht="20.100000000000001" customHeight="1" x14ac:dyDescent="0.2">
      <c r="A9" s="553"/>
      <c r="B9" s="386" t="s">
        <v>273</v>
      </c>
      <c r="C9" s="386" t="s">
        <v>274</v>
      </c>
      <c r="D9" s="386" t="s">
        <v>147</v>
      </c>
      <c r="E9" s="386" t="s">
        <v>273</v>
      </c>
      <c r="F9" s="386" t="s">
        <v>274</v>
      </c>
      <c r="G9" s="386" t="s">
        <v>147</v>
      </c>
      <c r="H9" s="557"/>
    </row>
    <row r="10" spans="1:13" s="1" customFormat="1" ht="20.100000000000001" customHeight="1" x14ac:dyDescent="0.2">
      <c r="A10" s="21" t="s">
        <v>139</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87" t="s">
        <v>275</v>
      </c>
      <c r="B11" s="13">
        <v>0</v>
      </c>
      <c r="C11" s="13">
        <v>0</v>
      </c>
      <c r="D11" s="14">
        <f>B11+C11</f>
        <v>0</v>
      </c>
      <c r="E11" s="13">
        <v>0</v>
      </c>
      <c r="F11" s="13">
        <v>0</v>
      </c>
      <c r="G11" s="18">
        <f>E11+F11</f>
        <v>0</v>
      </c>
      <c r="H11" s="20">
        <f>SUM(D11,G11)</f>
        <v>0</v>
      </c>
    </row>
    <row r="12" spans="1:13" s="1" customFormat="1" ht="20.100000000000001" customHeight="1" x14ac:dyDescent="0.2">
      <c r="A12" s="387" t="s">
        <v>276</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x14ac:dyDescent="0.2">
      <c r="A13" s="387" t="s">
        <v>277</v>
      </c>
      <c r="B13" s="113">
        <v>0</v>
      </c>
      <c r="C13" s="113">
        <v>0</v>
      </c>
      <c r="D13" s="114">
        <f t="shared" si="0"/>
        <v>0</v>
      </c>
      <c r="E13" s="113">
        <v>38052</v>
      </c>
      <c r="F13" s="113">
        <v>0</v>
      </c>
      <c r="G13" s="19">
        <f t="shared" si="1"/>
        <v>38052</v>
      </c>
      <c r="H13" s="20">
        <f t="shared" si="2"/>
        <v>38052</v>
      </c>
    </row>
    <row r="14" spans="1:13" s="1" customFormat="1" ht="20.100000000000001" customHeight="1" x14ac:dyDescent="0.2">
      <c r="A14" s="28" t="s">
        <v>278</v>
      </c>
      <c r="B14" s="115"/>
      <c r="C14" s="115"/>
      <c r="D14" s="115"/>
      <c r="E14" s="115"/>
      <c r="F14" s="115"/>
      <c r="G14" s="29"/>
      <c r="H14" s="29"/>
    </row>
    <row r="15" spans="1:13" s="1" customFormat="1" ht="20.100000000000001" customHeight="1" x14ac:dyDescent="0.2">
      <c r="A15" s="387" t="s">
        <v>279</v>
      </c>
      <c r="B15" s="113">
        <v>0</v>
      </c>
      <c r="C15" s="113">
        <v>0</v>
      </c>
      <c r="D15" s="114">
        <f t="shared" si="0"/>
        <v>0</v>
      </c>
      <c r="E15" s="113">
        <v>0</v>
      </c>
      <c r="F15" s="113">
        <v>0</v>
      </c>
      <c r="G15" s="19">
        <f t="shared" si="1"/>
        <v>0</v>
      </c>
      <c r="H15" s="20">
        <f t="shared" si="2"/>
        <v>0</v>
      </c>
    </row>
    <row r="16" spans="1:13" s="1" customFormat="1" ht="20.100000000000001" customHeight="1" x14ac:dyDescent="0.2">
      <c r="A16" s="387" t="s">
        <v>280</v>
      </c>
      <c r="B16" s="115"/>
      <c r="C16" s="115"/>
      <c r="D16" s="115"/>
      <c r="E16" s="115"/>
      <c r="F16" s="115"/>
      <c r="G16" s="29"/>
      <c r="H16" s="29"/>
    </row>
    <row r="17" spans="1:8" s="1" customFormat="1" ht="20.100000000000001" customHeight="1" x14ac:dyDescent="0.2">
      <c r="A17" s="387" t="s">
        <v>281</v>
      </c>
      <c r="B17" s="113">
        <v>0</v>
      </c>
      <c r="C17" s="113">
        <v>0</v>
      </c>
      <c r="D17" s="114">
        <f t="shared" si="0"/>
        <v>0</v>
      </c>
      <c r="E17" s="113">
        <v>0</v>
      </c>
      <c r="F17" s="113">
        <v>0</v>
      </c>
      <c r="G17" s="19">
        <f t="shared" si="1"/>
        <v>0</v>
      </c>
      <c r="H17" s="20">
        <f t="shared" si="2"/>
        <v>0</v>
      </c>
    </row>
    <row r="18" spans="1:8" s="1" customFormat="1" ht="20.100000000000001" customHeight="1" x14ac:dyDescent="0.2">
      <c r="A18" s="387" t="s">
        <v>282</v>
      </c>
      <c r="B18" s="113">
        <v>0</v>
      </c>
      <c r="C18" s="113">
        <v>0</v>
      </c>
      <c r="D18" s="114">
        <f t="shared" si="0"/>
        <v>0</v>
      </c>
      <c r="E18" s="113">
        <v>0</v>
      </c>
      <c r="F18" s="113">
        <v>0</v>
      </c>
      <c r="G18" s="19">
        <f t="shared" si="1"/>
        <v>0</v>
      </c>
      <c r="H18" s="20">
        <f t="shared" si="2"/>
        <v>0</v>
      </c>
    </row>
    <row r="19" spans="1:8" s="1" customFormat="1" ht="20.100000000000001" customHeight="1" x14ac:dyDescent="0.2">
      <c r="A19" s="387" t="s">
        <v>283</v>
      </c>
      <c r="B19" s="113">
        <v>0</v>
      </c>
      <c r="C19" s="113">
        <v>0</v>
      </c>
      <c r="D19" s="114">
        <f t="shared" si="0"/>
        <v>0</v>
      </c>
      <c r="E19" s="113">
        <v>0</v>
      </c>
      <c r="F19" s="113">
        <v>0</v>
      </c>
      <c r="G19" s="19">
        <f t="shared" si="1"/>
        <v>0</v>
      </c>
      <c r="H19" s="20">
        <f t="shared" si="2"/>
        <v>0</v>
      </c>
    </row>
    <row r="20" spans="1:8" s="1" customFormat="1" ht="20.100000000000001" customHeight="1" x14ac:dyDescent="0.2">
      <c r="A20" s="387" t="s">
        <v>284</v>
      </c>
      <c r="B20" s="113">
        <v>0</v>
      </c>
      <c r="C20" s="113">
        <v>0</v>
      </c>
      <c r="D20" s="114">
        <f t="shared" si="0"/>
        <v>0</v>
      </c>
      <c r="E20" s="113">
        <v>16913</v>
      </c>
      <c r="F20" s="113">
        <v>0</v>
      </c>
      <c r="G20" s="19">
        <f t="shared" si="1"/>
        <v>16913</v>
      </c>
      <c r="H20" s="20">
        <f t="shared" si="2"/>
        <v>16913</v>
      </c>
    </row>
    <row r="21" spans="1:8" s="1" customFormat="1" ht="20.100000000000001" customHeight="1" x14ac:dyDescent="0.2">
      <c r="A21" s="387" t="s">
        <v>285</v>
      </c>
      <c r="B21" s="113">
        <v>32682</v>
      </c>
      <c r="C21" s="113">
        <v>0</v>
      </c>
      <c r="D21" s="114">
        <f t="shared" si="0"/>
        <v>32682</v>
      </c>
      <c r="E21" s="113">
        <v>0</v>
      </c>
      <c r="F21" s="113">
        <v>0</v>
      </c>
      <c r="G21" s="19">
        <f t="shared" si="1"/>
        <v>0</v>
      </c>
      <c r="H21" s="20">
        <f t="shared" si="2"/>
        <v>32682</v>
      </c>
    </row>
    <row r="22" spans="1:8" s="1" customFormat="1" ht="20.100000000000001" customHeight="1" x14ac:dyDescent="0.2">
      <c r="A22" s="387" t="s">
        <v>286</v>
      </c>
      <c r="B22" s="113">
        <v>0</v>
      </c>
      <c r="C22" s="113">
        <v>0</v>
      </c>
      <c r="D22" s="114">
        <f t="shared" si="0"/>
        <v>0</v>
      </c>
      <c r="E22" s="113">
        <v>0</v>
      </c>
      <c r="F22" s="113">
        <v>0</v>
      </c>
      <c r="G22" s="19">
        <f t="shared" si="1"/>
        <v>0</v>
      </c>
      <c r="H22" s="20">
        <f t="shared" si="2"/>
        <v>0</v>
      </c>
    </row>
    <row r="23" spans="1:8" s="1" customFormat="1" ht="20.100000000000001" customHeight="1" x14ac:dyDescent="0.2">
      <c r="A23" s="387" t="s">
        <v>287</v>
      </c>
      <c r="B23" s="113">
        <v>120156</v>
      </c>
      <c r="C23" s="113">
        <v>0</v>
      </c>
      <c r="D23" s="114">
        <f t="shared" si="0"/>
        <v>120156</v>
      </c>
      <c r="E23" s="113">
        <v>0</v>
      </c>
      <c r="F23" s="113">
        <v>0</v>
      </c>
      <c r="G23" s="19">
        <f t="shared" si="1"/>
        <v>0</v>
      </c>
      <c r="H23" s="20">
        <f t="shared" si="2"/>
        <v>120156</v>
      </c>
    </row>
    <row r="24" spans="1:8" s="1" customFormat="1" ht="20.100000000000001" customHeight="1" x14ac:dyDescent="0.2">
      <c r="A24" s="387" t="s">
        <v>288</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x14ac:dyDescent="0.2">
      <c r="A25" s="387" t="s">
        <v>289</v>
      </c>
      <c r="B25" s="113">
        <v>0</v>
      </c>
      <c r="C25" s="113">
        <v>0</v>
      </c>
      <c r="D25" s="114">
        <f t="shared" si="0"/>
        <v>0</v>
      </c>
      <c r="E25" s="113">
        <v>0</v>
      </c>
      <c r="F25" s="113">
        <v>16480</v>
      </c>
      <c r="G25" s="19">
        <f t="shared" si="1"/>
        <v>16480</v>
      </c>
      <c r="H25" s="20">
        <f t="shared" si="2"/>
        <v>16480</v>
      </c>
    </row>
    <row r="26" spans="1:8" s="1" customFormat="1" ht="20.100000000000001" customHeight="1" thickBot="1" x14ac:dyDescent="0.25">
      <c r="A26" s="16" t="s">
        <v>147</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551"/>
      <c r="B27" s="552"/>
      <c r="C27" s="552"/>
      <c r="D27" s="552"/>
      <c r="E27" s="552"/>
      <c r="F27" s="552"/>
      <c r="G27" s="552"/>
      <c r="H27" s="552"/>
    </row>
    <row r="28" spans="1:8" s="1" customFormat="1" ht="20.100000000000001" customHeight="1" x14ac:dyDescent="0.2">
      <c r="A28" s="559" t="s">
        <v>290</v>
      </c>
      <c r="B28" s="560"/>
      <c r="C28" s="560"/>
      <c r="D28" s="560"/>
      <c r="E28" s="560"/>
      <c r="F28" s="560"/>
      <c r="G28" s="560"/>
      <c r="H28" s="561"/>
    </row>
    <row r="29" spans="1:8" s="1" customFormat="1" ht="20.100000000000001" customHeight="1" x14ac:dyDescent="0.2">
      <c r="A29" s="554" t="s">
        <v>270</v>
      </c>
      <c r="B29" s="529" t="s">
        <v>271</v>
      </c>
      <c r="C29" s="529"/>
      <c r="D29" s="529"/>
      <c r="E29" s="529" t="s">
        <v>272</v>
      </c>
      <c r="F29" s="529"/>
      <c r="G29" s="529"/>
      <c r="H29" s="550" t="s">
        <v>147</v>
      </c>
    </row>
    <row r="30" spans="1:8" s="1" customFormat="1" ht="20.100000000000001" customHeight="1" thickBot="1" x14ac:dyDescent="0.25">
      <c r="A30" s="555"/>
      <c r="B30" s="386" t="s">
        <v>273</v>
      </c>
      <c r="C30" s="386" t="s">
        <v>274</v>
      </c>
      <c r="D30" s="386" t="s">
        <v>147</v>
      </c>
      <c r="E30" s="386" t="s">
        <v>273</v>
      </c>
      <c r="F30" s="386" t="s">
        <v>274</v>
      </c>
      <c r="G30" s="386" t="s">
        <v>147</v>
      </c>
      <c r="H30" s="558"/>
    </row>
    <row r="31" spans="1:8" s="1" customFormat="1" ht="20.100000000000001" customHeight="1" x14ac:dyDescent="0.2">
      <c r="A31" s="21" t="s">
        <v>139</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87" t="s">
        <v>275</v>
      </c>
      <c r="B32" s="13">
        <v>0</v>
      </c>
      <c r="C32" s="13">
        <v>0</v>
      </c>
      <c r="D32" s="14">
        <f>B32+C32</f>
        <v>0</v>
      </c>
      <c r="E32" s="13">
        <v>0</v>
      </c>
      <c r="F32" s="13">
        <v>0</v>
      </c>
      <c r="G32" s="18">
        <f>E32+F32</f>
        <v>0</v>
      </c>
      <c r="H32" s="20">
        <f>SUM(D32,G32)</f>
        <v>0</v>
      </c>
    </row>
    <row r="33" spans="1:8" s="1" customFormat="1" ht="20.100000000000001" customHeight="1" x14ac:dyDescent="0.2">
      <c r="A33" s="387" t="s">
        <v>276</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x14ac:dyDescent="0.2">
      <c r="A34" s="387" t="s">
        <v>277</v>
      </c>
      <c r="B34" s="113">
        <v>0</v>
      </c>
      <c r="C34" s="113">
        <v>0</v>
      </c>
      <c r="D34" s="114">
        <f t="shared" si="7"/>
        <v>0</v>
      </c>
      <c r="E34" s="113">
        <v>19800</v>
      </c>
      <c r="F34" s="113">
        <v>0</v>
      </c>
      <c r="G34" s="19">
        <f t="shared" si="8"/>
        <v>19800</v>
      </c>
      <c r="H34" s="20">
        <f t="shared" si="9"/>
        <v>19800</v>
      </c>
    </row>
    <row r="35" spans="1:8" s="1" customFormat="1" ht="20.100000000000001" customHeight="1" x14ac:dyDescent="0.2">
      <c r="A35" s="28" t="s">
        <v>278</v>
      </c>
      <c r="B35" s="115"/>
      <c r="C35" s="115"/>
      <c r="D35" s="115"/>
      <c r="E35" s="115"/>
      <c r="F35" s="115"/>
      <c r="G35" s="29"/>
      <c r="H35" s="29"/>
    </row>
    <row r="36" spans="1:8" s="1" customFormat="1" ht="20.100000000000001" customHeight="1" x14ac:dyDescent="0.2">
      <c r="A36" s="387" t="s">
        <v>279</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x14ac:dyDescent="0.2">
      <c r="A37" s="387" t="s">
        <v>280</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x14ac:dyDescent="0.2">
      <c r="A38" s="387" t="s">
        <v>281</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x14ac:dyDescent="0.2">
      <c r="A39" s="387" t="s">
        <v>282</v>
      </c>
      <c r="B39" s="113">
        <v>0</v>
      </c>
      <c r="C39" s="113">
        <v>0</v>
      </c>
      <c r="D39" s="114">
        <f t="shared" si="16"/>
        <v>0</v>
      </c>
      <c r="E39" s="113">
        <v>0</v>
      </c>
      <c r="F39" s="113">
        <v>0</v>
      </c>
      <c r="G39" s="19">
        <f t="shared" si="17"/>
        <v>0</v>
      </c>
      <c r="H39" s="20">
        <f t="shared" si="18"/>
        <v>0</v>
      </c>
    </row>
    <row r="40" spans="1:8" s="1" customFormat="1" ht="20.100000000000001" customHeight="1" x14ac:dyDescent="0.2">
      <c r="A40" s="387" t="s">
        <v>283</v>
      </c>
      <c r="B40" s="113">
        <v>0</v>
      </c>
      <c r="C40" s="113">
        <v>0</v>
      </c>
      <c r="D40" s="114">
        <f t="shared" si="16"/>
        <v>0</v>
      </c>
      <c r="E40" s="113">
        <v>0</v>
      </c>
      <c r="F40" s="113">
        <v>0</v>
      </c>
      <c r="G40" s="19">
        <f t="shared" si="17"/>
        <v>0</v>
      </c>
      <c r="H40" s="20">
        <f t="shared" si="18"/>
        <v>0</v>
      </c>
    </row>
    <row r="41" spans="1:8" s="1" customFormat="1" ht="20.100000000000001" customHeight="1" x14ac:dyDescent="0.2">
      <c r="A41" s="387" t="s">
        <v>284</v>
      </c>
      <c r="B41" s="113">
        <v>0</v>
      </c>
      <c r="C41" s="113">
        <v>0</v>
      </c>
      <c r="D41" s="114">
        <f t="shared" si="16"/>
        <v>0</v>
      </c>
      <c r="E41" s="113">
        <v>0</v>
      </c>
      <c r="F41" s="113">
        <v>0</v>
      </c>
      <c r="G41" s="19">
        <f t="shared" si="17"/>
        <v>0</v>
      </c>
      <c r="H41" s="20">
        <f t="shared" si="18"/>
        <v>0</v>
      </c>
    </row>
    <row r="42" spans="1:8" s="1" customFormat="1" ht="20.100000000000001" customHeight="1" x14ac:dyDescent="0.2">
      <c r="A42" s="387" t="s">
        <v>285</v>
      </c>
      <c r="B42" s="113">
        <v>42885</v>
      </c>
      <c r="C42" s="113">
        <v>0</v>
      </c>
      <c r="D42" s="114">
        <f t="shared" si="16"/>
        <v>42885</v>
      </c>
      <c r="E42" s="113">
        <v>0</v>
      </c>
      <c r="F42" s="113">
        <v>0</v>
      </c>
      <c r="G42" s="19">
        <f t="shared" si="17"/>
        <v>0</v>
      </c>
      <c r="H42" s="20">
        <f t="shared" si="18"/>
        <v>42885</v>
      </c>
    </row>
    <row r="43" spans="1:8" s="1" customFormat="1" ht="20.100000000000001" customHeight="1" x14ac:dyDescent="0.2">
      <c r="A43" s="387" t="s">
        <v>286</v>
      </c>
      <c r="B43" s="113">
        <v>0</v>
      </c>
      <c r="C43" s="113">
        <v>0</v>
      </c>
      <c r="D43" s="114">
        <f t="shared" si="16"/>
        <v>0</v>
      </c>
      <c r="E43" s="113">
        <v>0</v>
      </c>
      <c r="F43" s="113">
        <v>0</v>
      </c>
      <c r="G43" s="19">
        <f t="shared" si="17"/>
        <v>0</v>
      </c>
      <c r="H43" s="20">
        <f t="shared" si="18"/>
        <v>0</v>
      </c>
    </row>
    <row r="44" spans="1:8" s="1" customFormat="1" ht="20.100000000000001" customHeight="1" x14ac:dyDescent="0.2">
      <c r="A44" s="387" t="s">
        <v>287</v>
      </c>
      <c r="B44" s="113">
        <v>90301</v>
      </c>
      <c r="C44" s="113">
        <v>0</v>
      </c>
      <c r="D44" s="114">
        <f t="shared" si="16"/>
        <v>90301</v>
      </c>
      <c r="E44" s="113">
        <v>0</v>
      </c>
      <c r="F44" s="113">
        <v>0</v>
      </c>
      <c r="G44" s="19">
        <f t="shared" si="17"/>
        <v>0</v>
      </c>
      <c r="H44" s="20">
        <f t="shared" si="18"/>
        <v>90301</v>
      </c>
    </row>
    <row r="45" spans="1:8" s="1" customFormat="1" ht="20.100000000000001" customHeight="1" x14ac:dyDescent="0.2">
      <c r="A45" s="387" t="s">
        <v>288</v>
      </c>
      <c r="B45" s="113">
        <v>10536</v>
      </c>
      <c r="C45" s="113">
        <v>0</v>
      </c>
      <c r="D45" s="114">
        <f t="shared" si="16"/>
        <v>10536</v>
      </c>
      <c r="E45" s="113">
        <v>2517</v>
      </c>
      <c r="F45" s="113">
        <v>0</v>
      </c>
      <c r="G45" s="19">
        <f t="shared" si="17"/>
        <v>2517</v>
      </c>
      <c r="H45" s="20">
        <f t="shared" si="18"/>
        <v>13053</v>
      </c>
    </row>
    <row r="46" spans="1:8" s="1" customFormat="1" ht="20.100000000000001" customHeight="1" x14ac:dyDescent="0.2">
      <c r="A46" s="387" t="s">
        <v>289</v>
      </c>
      <c r="B46" s="113">
        <v>0</v>
      </c>
      <c r="C46" s="113">
        <v>0</v>
      </c>
      <c r="D46" s="114">
        <f t="shared" si="16"/>
        <v>0</v>
      </c>
      <c r="E46" s="113">
        <v>0</v>
      </c>
      <c r="F46" s="113">
        <v>0</v>
      </c>
      <c r="G46" s="19">
        <f t="shared" si="17"/>
        <v>0</v>
      </c>
      <c r="H46" s="20">
        <f t="shared" si="18"/>
        <v>0</v>
      </c>
    </row>
    <row r="47" spans="1:8" s="1" customFormat="1" ht="20.100000000000001" customHeight="1" thickBot="1" x14ac:dyDescent="0.25">
      <c r="A47" s="16" t="s">
        <v>147</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551"/>
      <c r="B48" s="552"/>
      <c r="C48" s="552"/>
      <c r="D48" s="552"/>
      <c r="E48" s="552"/>
      <c r="F48" s="552"/>
      <c r="G48" s="552"/>
      <c r="H48" s="552"/>
    </row>
    <row r="49" spans="1:8" s="1" customFormat="1" ht="20.100000000000001" customHeight="1" x14ac:dyDescent="0.2">
      <c r="A49" s="559" t="s">
        <v>291</v>
      </c>
      <c r="B49" s="560"/>
      <c r="C49" s="560"/>
      <c r="D49" s="560"/>
      <c r="E49" s="560"/>
      <c r="F49" s="560"/>
      <c r="G49" s="560"/>
      <c r="H49" s="561"/>
    </row>
    <row r="50" spans="1:8" s="1" customFormat="1" ht="20.100000000000001" customHeight="1" x14ac:dyDescent="0.2">
      <c r="A50" s="554" t="s">
        <v>270</v>
      </c>
      <c r="B50" s="529" t="s">
        <v>271</v>
      </c>
      <c r="C50" s="529"/>
      <c r="D50" s="529"/>
      <c r="E50" s="529" t="s">
        <v>272</v>
      </c>
      <c r="F50" s="529"/>
      <c r="G50" s="529"/>
      <c r="H50" s="550" t="s">
        <v>147</v>
      </c>
    </row>
    <row r="51" spans="1:8" s="1" customFormat="1" ht="20.100000000000001" customHeight="1" thickBot="1" x14ac:dyDescent="0.25">
      <c r="A51" s="555"/>
      <c r="B51" s="386" t="s">
        <v>273</v>
      </c>
      <c r="C51" s="386" t="s">
        <v>274</v>
      </c>
      <c r="D51" s="386" t="s">
        <v>147</v>
      </c>
      <c r="E51" s="386" t="s">
        <v>273</v>
      </c>
      <c r="F51" s="386" t="s">
        <v>274</v>
      </c>
      <c r="G51" s="386" t="s">
        <v>147</v>
      </c>
      <c r="H51" s="550"/>
    </row>
    <row r="52" spans="1:8" s="1" customFormat="1" ht="20.100000000000001" customHeight="1" x14ac:dyDescent="0.2">
      <c r="A52" s="21" t="s">
        <v>139</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87" t="s">
        <v>275</v>
      </c>
      <c r="B53" s="13">
        <v>0</v>
      </c>
      <c r="C53" s="13">
        <v>0</v>
      </c>
      <c r="D53" s="14">
        <f>B53+C53</f>
        <v>0</v>
      </c>
      <c r="E53" s="13">
        <v>0</v>
      </c>
      <c r="F53" s="13">
        <v>0</v>
      </c>
      <c r="G53" s="18">
        <f>E53+F53</f>
        <v>0</v>
      </c>
      <c r="H53" s="20">
        <f>SUM(D53,G53)</f>
        <v>0</v>
      </c>
    </row>
    <row r="54" spans="1:8" s="1" customFormat="1" ht="20.100000000000001" customHeight="1" x14ac:dyDescent="0.2">
      <c r="A54" s="387" t="s">
        <v>276</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x14ac:dyDescent="0.2">
      <c r="A55" s="387" t="s">
        <v>277</v>
      </c>
      <c r="B55" s="113">
        <v>0</v>
      </c>
      <c r="C55" s="113">
        <v>0</v>
      </c>
      <c r="D55" s="114">
        <f t="shared" si="25"/>
        <v>0</v>
      </c>
      <c r="E55" s="113">
        <v>20592</v>
      </c>
      <c r="F55" s="113">
        <v>0</v>
      </c>
      <c r="G55" s="19">
        <f t="shared" si="26"/>
        <v>20592</v>
      </c>
      <c r="H55" s="20">
        <f t="shared" si="27"/>
        <v>20592</v>
      </c>
    </row>
    <row r="56" spans="1:8" s="1" customFormat="1" ht="20.100000000000001" customHeight="1" x14ac:dyDescent="0.2">
      <c r="A56" s="28" t="s">
        <v>278</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x14ac:dyDescent="0.2">
      <c r="A57" s="387" t="s">
        <v>279</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x14ac:dyDescent="0.2">
      <c r="A58" s="387" t="s">
        <v>280</v>
      </c>
      <c r="B58" s="113">
        <v>0</v>
      </c>
      <c r="C58" s="113">
        <v>0</v>
      </c>
      <c r="D58" s="114">
        <f t="shared" si="31"/>
        <v>0</v>
      </c>
      <c r="E58" s="113">
        <v>0</v>
      </c>
      <c r="F58" s="113">
        <v>0</v>
      </c>
      <c r="G58" s="19">
        <f t="shared" si="32"/>
        <v>0</v>
      </c>
      <c r="H58" s="20">
        <f t="shared" si="33"/>
        <v>0</v>
      </c>
    </row>
    <row r="59" spans="1:8" s="1" customFormat="1" ht="20.100000000000001" customHeight="1" x14ac:dyDescent="0.2">
      <c r="A59" s="387" t="s">
        <v>281</v>
      </c>
      <c r="B59" s="113">
        <v>0</v>
      </c>
      <c r="C59" s="113">
        <v>0</v>
      </c>
      <c r="D59" s="114">
        <f t="shared" si="31"/>
        <v>0</v>
      </c>
      <c r="E59" s="113">
        <v>0</v>
      </c>
      <c r="F59" s="113">
        <v>0</v>
      </c>
      <c r="G59" s="19">
        <f t="shared" si="32"/>
        <v>0</v>
      </c>
      <c r="H59" s="20">
        <f t="shared" si="33"/>
        <v>0</v>
      </c>
    </row>
    <row r="60" spans="1:8" s="1" customFormat="1" ht="20.100000000000001" customHeight="1" x14ac:dyDescent="0.2">
      <c r="A60" s="387" t="s">
        <v>282</v>
      </c>
      <c r="B60" s="113">
        <v>0</v>
      </c>
      <c r="C60" s="113">
        <v>0</v>
      </c>
      <c r="D60" s="114">
        <f t="shared" si="31"/>
        <v>0</v>
      </c>
      <c r="E60" s="113">
        <v>0</v>
      </c>
      <c r="F60" s="113">
        <v>0</v>
      </c>
      <c r="G60" s="19">
        <f t="shared" si="32"/>
        <v>0</v>
      </c>
      <c r="H60" s="20">
        <f t="shared" si="33"/>
        <v>0</v>
      </c>
    </row>
    <row r="61" spans="1:8" s="1" customFormat="1" ht="20.100000000000001" customHeight="1" x14ac:dyDescent="0.2">
      <c r="A61" s="387" t="s">
        <v>283</v>
      </c>
      <c r="B61" s="113">
        <v>0</v>
      </c>
      <c r="C61" s="113">
        <v>0</v>
      </c>
      <c r="D61" s="114">
        <f t="shared" si="31"/>
        <v>0</v>
      </c>
      <c r="E61" s="113">
        <v>0</v>
      </c>
      <c r="F61" s="113">
        <v>0</v>
      </c>
      <c r="G61" s="19">
        <f t="shared" si="32"/>
        <v>0</v>
      </c>
      <c r="H61" s="20">
        <f t="shared" si="33"/>
        <v>0</v>
      </c>
    </row>
    <row r="62" spans="1:8" s="1" customFormat="1" ht="20.100000000000001" customHeight="1" x14ac:dyDescent="0.2">
      <c r="A62" s="387" t="s">
        <v>284</v>
      </c>
      <c r="B62" s="113">
        <v>0</v>
      </c>
      <c r="C62" s="113">
        <v>0</v>
      </c>
      <c r="D62" s="114">
        <f t="shared" si="31"/>
        <v>0</v>
      </c>
      <c r="E62" s="113">
        <v>0</v>
      </c>
      <c r="F62" s="113">
        <v>0</v>
      </c>
      <c r="G62" s="19">
        <f t="shared" si="32"/>
        <v>0</v>
      </c>
      <c r="H62" s="20">
        <f t="shared" si="33"/>
        <v>0</v>
      </c>
    </row>
    <row r="63" spans="1:8" s="1" customFormat="1" ht="20.100000000000001" customHeight="1" x14ac:dyDescent="0.2">
      <c r="A63" s="387" t="s">
        <v>285</v>
      </c>
      <c r="B63" s="113">
        <v>44600</v>
      </c>
      <c r="C63" s="113">
        <v>0</v>
      </c>
      <c r="D63" s="114">
        <f t="shared" si="31"/>
        <v>44600</v>
      </c>
      <c r="E63" s="113">
        <v>0</v>
      </c>
      <c r="F63" s="113">
        <v>0</v>
      </c>
      <c r="G63" s="19">
        <f t="shared" si="32"/>
        <v>0</v>
      </c>
      <c r="H63" s="20">
        <f t="shared" si="33"/>
        <v>44600</v>
      </c>
    </row>
    <row r="64" spans="1:8" s="1" customFormat="1" ht="20.100000000000001" customHeight="1" x14ac:dyDescent="0.2">
      <c r="A64" s="387" t="s">
        <v>286</v>
      </c>
      <c r="B64" s="113">
        <v>0</v>
      </c>
      <c r="C64" s="113">
        <v>0</v>
      </c>
      <c r="D64" s="114">
        <f t="shared" si="31"/>
        <v>0</v>
      </c>
      <c r="E64" s="113">
        <v>0</v>
      </c>
      <c r="F64" s="113">
        <v>0</v>
      </c>
      <c r="G64" s="19">
        <f t="shared" si="32"/>
        <v>0</v>
      </c>
      <c r="H64" s="20">
        <f t="shared" si="33"/>
        <v>0</v>
      </c>
    </row>
    <row r="65" spans="1:8" s="1" customFormat="1" ht="20.100000000000001" customHeight="1" x14ac:dyDescent="0.2">
      <c r="A65" s="387" t="s">
        <v>287</v>
      </c>
      <c r="B65" s="113">
        <v>93913</v>
      </c>
      <c r="C65" s="113">
        <v>0</v>
      </c>
      <c r="D65" s="114">
        <f t="shared" si="31"/>
        <v>93913</v>
      </c>
      <c r="E65" s="113">
        <v>0</v>
      </c>
      <c r="F65" s="113">
        <v>0</v>
      </c>
      <c r="G65" s="19">
        <f t="shared" si="32"/>
        <v>0</v>
      </c>
      <c r="H65" s="20">
        <f t="shared" si="33"/>
        <v>93913</v>
      </c>
    </row>
    <row r="66" spans="1:8" s="1" customFormat="1" ht="20.100000000000001" customHeight="1" x14ac:dyDescent="0.2">
      <c r="A66" s="387" t="s">
        <v>288</v>
      </c>
      <c r="B66" s="113">
        <v>10957</v>
      </c>
      <c r="C66" s="113">
        <v>0</v>
      </c>
      <c r="D66" s="114">
        <f t="shared" si="31"/>
        <v>10957</v>
      </c>
      <c r="E66" s="113">
        <v>2618</v>
      </c>
      <c r="F66" s="113">
        <v>0</v>
      </c>
      <c r="G66" s="19">
        <f t="shared" si="32"/>
        <v>2618</v>
      </c>
      <c r="H66" s="20">
        <f t="shared" si="33"/>
        <v>13575</v>
      </c>
    </row>
    <row r="67" spans="1:8" s="1" customFormat="1" ht="20.100000000000001" customHeight="1" x14ac:dyDescent="0.2">
      <c r="A67" s="387" t="s">
        <v>289</v>
      </c>
      <c r="B67" s="113">
        <v>0</v>
      </c>
      <c r="C67" s="113">
        <v>0</v>
      </c>
      <c r="D67" s="114">
        <f t="shared" si="31"/>
        <v>0</v>
      </c>
      <c r="E67" s="113">
        <v>0</v>
      </c>
      <c r="F67" s="113">
        <v>0</v>
      </c>
      <c r="G67" s="19">
        <f t="shared" si="32"/>
        <v>0</v>
      </c>
      <c r="H67" s="20">
        <f t="shared" si="33"/>
        <v>0</v>
      </c>
    </row>
    <row r="68" spans="1:8" s="1" customFormat="1" ht="20.100000000000001" customHeight="1" thickBot="1" x14ac:dyDescent="0.25">
      <c r="A68" s="16" t="s">
        <v>147</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551"/>
      <c r="B69" s="552"/>
      <c r="C69" s="552"/>
      <c r="D69" s="552"/>
      <c r="E69" s="552"/>
      <c r="F69" s="552"/>
      <c r="G69" s="552"/>
      <c r="H69" s="552"/>
    </row>
    <row r="70" spans="1:8" s="1" customFormat="1" ht="20.100000000000001" customHeight="1" x14ac:dyDescent="0.2">
      <c r="A70" s="559" t="s">
        <v>292</v>
      </c>
      <c r="B70" s="560"/>
      <c r="C70" s="560"/>
      <c r="D70" s="560"/>
      <c r="E70" s="560"/>
      <c r="F70" s="560"/>
      <c r="G70" s="560"/>
      <c r="H70" s="561"/>
    </row>
    <row r="71" spans="1:8" s="1" customFormat="1" ht="20.100000000000001" customHeight="1" x14ac:dyDescent="0.2">
      <c r="A71" s="554" t="s">
        <v>270</v>
      </c>
      <c r="B71" s="529" t="s">
        <v>271</v>
      </c>
      <c r="C71" s="529"/>
      <c r="D71" s="529"/>
      <c r="E71" s="529" t="s">
        <v>272</v>
      </c>
      <c r="F71" s="529"/>
      <c r="G71" s="529"/>
      <c r="H71" s="550" t="s">
        <v>147</v>
      </c>
    </row>
    <row r="72" spans="1:8" s="1" customFormat="1" ht="20.100000000000001" customHeight="1" thickBot="1" x14ac:dyDescent="0.25">
      <c r="A72" s="555"/>
      <c r="B72" s="386" t="s">
        <v>273</v>
      </c>
      <c r="C72" s="386" t="s">
        <v>274</v>
      </c>
      <c r="D72" s="386" t="s">
        <v>147</v>
      </c>
      <c r="E72" s="386" t="s">
        <v>273</v>
      </c>
      <c r="F72" s="386" t="s">
        <v>274</v>
      </c>
      <c r="G72" s="386" t="s">
        <v>147</v>
      </c>
      <c r="H72" s="550"/>
    </row>
    <row r="73" spans="1:8" s="1" customFormat="1" ht="20.100000000000001" customHeight="1" x14ac:dyDescent="0.2">
      <c r="A73" s="21" t="s">
        <v>139</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87" t="s">
        <v>275</v>
      </c>
      <c r="B74" s="13">
        <v>0</v>
      </c>
      <c r="C74" s="13">
        <v>0</v>
      </c>
      <c r="D74" s="14">
        <f>B74+C74</f>
        <v>0</v>
      </c>
      <c r="E74" s="13">
        <v>0</v>
      </c>
      <c r="F74" s="13">
        <v>0</v>
      </c>
      <c r="G74" s="18">
        <f>E74+F74</f>
        <v>0</v>
      </c>
      <c r="H74" s="20">
        <f>SUM(D74,G74)</f>
        <v>0</v>
      </c>
    </row>
    <row r="75" spans="1:8" s="1" customFormat="1" ht="20.100000000000001" customHeight="1" x14ac:dyDescent="0.2">
      <c r="A75" s="387" t="s">
        <v>276</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x14ac:dyDescent="0.2">
      <c r="A76" s="387" t="s">
        <v>277</v>
      </c>
      <c r="B76" s="113">
        <v>0</v>
      </c>
      <c r="C76" s="113">
        <v>0</v>
      </c>
      <c r="D76" s="114">
        <f t="shared" si="40"/>
        <v>0</v>
      </c>
      <c r="E76" s="113">
        <v>21416</v>
      </c>
      <c r="F76" s="113">
        <v>0</v>
      </c>
      <c r="G76" s="19">
        <f t="shared" si="41"/>
        <v>21416</v>
      </c>
      <c r="H76" s="20">
        <f t="shared" si="42"/>
        <v>21416</v>
      </c>
    </row>
    <row r="77" spans="1:8" s="1" customFormat="1" ht="20.100000000000001" customHeight="1" x14ac:dyDescent="0.2">
      <c r="A77" s="28" t="s">
        <v>278</v>
      </c>
      <c r="B77" s="113">
        <v>0</v>
      </c>
      <c r="C77" s="113">
        <v>0</v>
      </c>
      <c r="D77" s="114">
        <f t="shared" si="40"/>
        <v>0</v>
      </c>
      <c r="E77" s="113">
        <v>0</v>
      </c>
      <c r="F77" s="113">
        <v>0</v>
      </c>
      <c r="G77" s="19">
        <f t="shared" si="41"/>
        <v>0</v>
      </c>
      <c r="H77" s="20">
        <f t="shared" si="42"/>
        <v>0</v>
      </c>
    </row>
    <row r="78" spans="1:8" s="1" customFormat="1" ht="20.100000000000001" customHeight="1" x14ac:dyDescent="0.2">
      <c r="A78" s="387" t="s">
        <v>279</v>
      </c>
      <c r="B78" s="113">
        <v>0</v>
      </c>
      <c r="C78" s="113">
        <v>0</v>
      </c>
      <c r="D78" s="114">
        <f t="shared" si="40"/>
        <v>0</v>
      </c>
      <c r="E78" s="113">
        <v>0</v>
      </c>
      <c r="F78" s="113">
        <v>0</v>
      </c>
      <c r="G78" s="19">
        <f t="shared" si="41"/>
        <v>0</v>
      </c>
      <c r="H78" s="20">
        <f t="shared" si="42"/>
        <v>0</v>
      </c>
    </row>
    <row r="79" spans="1:8" s="1" customFormat="1" ht="20.100000000000001" customHeight="1" x14ac:dyDescent="0.2">
      <c r="A79" s="387" t="s">
        <v>280</v>
      </c>
      <c r="B79" s="113">
        <v>0</v>
      </c>
      <c r="C79" s="113">
        <v>0</v>
      </c>
      <c r="D79" s="114">
        <f t="shared" si="40"/>
        <v>0</v>
      </c>
      <c r="E79" s="113">
        <v>0</v>
      </c>
      <c r="F79" s="113">
        <v>0</v>
      </c>
      <c r="G79" s="19">
        <f t="shared" si="41"/>
        <v>0</v>
      </c>
      <c r="H79" s="20">
        <f t="shared" si="42"/>
        <v>0</v>
      </c>
    </row>
    <row r="80" spans="1:8" s="1" customFormat="1" ht="20.100000000000001" customHeight="1" x14ac:dyDescent="0.2">
      <c r="A80" s="387" t="s">
        <v>281</v>
      </c>
      <c r="B80" s="113">
        <v>0</v>
      </c>
      <c r="C80" s="113">
        <v>0</v>
      </c>
      <c r="D80" s="114">
        <f t="shared" si="40"/>
        <v>0</v>
      </c>
      <c r="E80" s="113">
        <v>0</v>
      </c>
      <c r="F80" s="113">
        <v>0</v>
      </c>
      <c r="G80" s="19">
        <f t="shared" si="41"/>
        <v>0</v>
      </c>
      <c r="H80" s="20">
        <f t="shared" si="42"/>
        <v>0</v>
      </c>
    </row>
    <row r="81" spans="1:8" s="1" customFormat="1" ht="20.100000000000001" customHeight="1" x14ac:dyDescent="0.2">
      <c r="A81" s="387" t="s">
        <v>282</v>
      </c>
      <c r="B81" s="113">
        <v>0</v>
      </c>
      <c r="C81" s="113">
        <v>0</v>
      </c>
      <c r="D81" s="114">
        <f t="shared" si="40"/>
        <v>0</v>
      </c>
      <c r="E81" s="113">
        <v>0</v>
      </c>
      <c r="F81" s="113">
        <v>0</v>
      </c>
      <c r="G81" s="19">
        <f t="shared" si="41"/>
        <v>0</v>
      </c>
      <c r="H81" s="20">
        <f t="shared" si="42"/>
        <v>0</v>
      </c>
    </row>
    <row r="82" spans="1:8" s="1" customFormat="1" ht="20.100000000000001" customHeight="1" x14ac:dyDescent="0.2">
      <c r="A82" s="387" t="s">
        <v>283</v>
      </c>
      <c r="B82" s="113">
        <v>0</v>
      </c>
      <c r="C82" s="113">
        <v>0</v>
      </c>
      <c r="D82" s="114">
        <f t="shared" si="40"/>
        <v>0</v>
      </c>
      <c r="E82" s="113">
        <v>0</v>
      </c>
      <c r="F82" s="113">
        <v>0</v>
      </c>
      <c r="G82" s="19">
        <f t="shared" si="41"/>
        <v>0</v>
      </c>
      <c r="H82" s="20">
        <f t="shared" si="42"/>
        <v>0</v>
      </c>
    </row>
    <row r="83" spans="1:8" s="1" customFormat="1" ht="20.100000000000001" customHeight="1" x14ac:dyDescent="0.2">
      <c r="A83" s="387" t="s">
        <v>284</v>
      </c>
      <c r="B83" s="113">
        <v>0</v>
      </c>
      <c r="C83" s="113">
        <v>0</v>
      </c>
      <c r="D83" s="114">
        <f t="shared" si="40"/>
        <v>0</v>
      </c>
      <c r="E83" s="113">
        <v>0</v>
      </c>
      <c r="F83" s="113">
        <v>0</v>
      </c>
      <c r="G83" s="19">
        <f t="shared" si="41"/>
        <v>0</v>
      </c>
      <c r="H83" s="20">
        <f t="shared" si="42"/>
        <v>0</v>
      </c>
    </row>
    <row r="84" spans="1:8" s="1" customFormat="1" ht="20.100000000000001" customHeight="1" x14ac:dyDescent="0.2">
      <c r="A84" s="387" t="s">
        <v>285</v>
      </c>
      <c r="B84" s="113">
        <v>46384</v>
      </c>
      <c r="C84" s="113">
        <v>0</v>
      </c>
      <c r="D84" s="114">
        <f t="shared" si="40"/>
        <v>46384</v>
      </c>
      <c r="E84" s="113">
        <v>0</v>
      </c>
      <c r="F84" s="113">
        <v>0</v>
      </c>
      <c r="G84" s="19">
        <f t="shared" si="41"/>
        <v>0</v>
      </c>
      <c r="H84" s="20">
        <f t="shared" si="42"/>
        <v>46384</v>
      </c>
    </row>
    <row r="85" spans="1:8" s="1" customFormat="1" ht="20.100000000000001" customHeight="1" x14ac:dyDescent="0.2">
      <c r="A85" s="387" t="s">
        <v>286</v>
      </c>
      <c r="B85" s="113">
        <v>0</v>
      </c>
      <c r="C85" s="113">
        <v>0</v>
      </c>
      <c r="D85" s="114">
        <f t="shared" si="40"/>
        <v>0</v>
      </c>
      <c r="E85" s="113">
        <v>0</v>
      </c>
      <c r="F85" s="113">
        <v>0</v>
      </c>
      <c r="G85" s="19">
        <f t="shared" si="41"/>
        <v>0</v>
      </c>
      <c r="H85" s="20">
        <f t="shared" si="42"/>
        <v>0</v>
      </c>
    </row>
    <row r="86" spans="1:8" s="1" customFormat="1" ht="20.100000000000001" customHeight="1" x14ac:dyDescent="0.2">
      <c r="A86" s="387" t="s">
        <v>287</v>
      </c>
      <c r="B86" s="113">
        <v>97670</v>
      </c>
      <c r="C86" s="113">
        <v>0</v>
      </c>
      <c r="D86" s="114">
        <f t="shared" si="40"/>
        <v>97670</v>
      </c>
      <c r="E86" s="113">
        <v>0</v>
      </c>
      <c r="F86" s="113">
        <v>0</v>
      </c>
      <c r="G86" s="19">
        <f t="shared" si="41"/>
        <v>0</v>
      </c>
      <c r="H86" s="20">
        <f t="shared" si="42"/>
        <v>97670</v>
      </c>
    </row>
    <row r="87" spans="1:8" s="1" customFormat="1" ht="20.100000000000001" customHeight="1" x14ac:dyDescent="0.2">
      <c r="A87" s="387" t="s">
        <v>288</v>
      </c>
      <c r="B87" s="113">
        <v>11396</v>
      </c>
      <c r="C87" s="113">
        <v>0</v>
      </c>
      <c r="D87" s="114">
        <f t="shared" si="40"/>
        <v>11396</v>
      </c>
      <c r="E87" s="113">
        <v>2722</v>
      </c>
      <c r="F87" s="113">
        <v>0</v>
      </c>
      <c r="G87" s="19">
        <f t="shared" si="41"/>
        <v>2722</v>
      </c>
      <c r="H87" s="20">
        <f t="shared" si="42"/>
        <v>14118</v>
      </c>
    </row>
    <row r="88" spans="1:8" s="1" customFormat="1" ht="20.100000000000001" customHeight="1" x14ac:dyDescent="0.2">
      <c r="A88" s="387" t="s">
        <v>289</v>
      </c>
      <c r="B88" s="113">
        <v>0</v>
      </c>
      <c r="C88" s="113">
        <v>0</v>
      </c>
      <c r="D88" s="114">
        <f t="shared" si="40"/>
        <v>0</v>
      </c>
      <c r="E88" s="113">
        <v>0</v>
      </c>
      <c r="F88" s="113">
        <v>0</v>
      </c>
      <c r="G88" s="19">
        <f t="shared" si="41"/>
        <v>0</v>
      </c>
      <c r="H88" s="20">
        <f t="shared" si="42"/>
        <v>0</v>
      </c>
    </row>
    <row r="89" spans="1:8" s="1" customFormat="1" ht="20.100000000000001" customHeight="1" thickBot="1" x14ac:dyDescent="0.25">
      <c r="A89" s="16" t="s">
        <v>147</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551"/>
      <c r="B90" s="552"/>
      <c r="C90" s="552"/>
      <c r="D90" s="552"/>
      <c r="E90" s="552"/>
      <c r="F90" s="552"/>
      <c r="G90" s="552"/>
      <c r="H90" s="552"/>
    </row>
    <row r="91" spans="1:8" s="1" customFormat="1" ht="20.100000000000001" customHeight="1" x14ac:dyDescent="0.2">
      <c r="A91" s="559" t="s">
        <v>293</v>
      </c>
      <c r="B91" s="560"/>
      <c r="C91" s="560"/>
      <c r="D91" s="560"/>
      <c r="E91" s="560"/>
      <c r="F91" s="560"/>
      <c r="G91" s="560"/>
      <c r="H91" s="561"/>
    </row>
    <row r="92" spans="1:8" s="1" customFormat="1" ht="20.100000000000001" customHeight="1" x14ac:dyDescent="0.2">
      <c r="A92" s="548" t="s">
        <v>270</v>
      </c>
      <c r="B92" s="529" t="s">
        <v>271</v>
      </c>
      <c r="C92" s="529"/>
      <c r="D92" s="529"/>
      <c r="E92" s="529" t="s">
        <v>272</v>
      </c>
      <c r="F92" s="529"/>
      <c r="G92" s="529"/>
      <c r="H92" s="550" t="s">
        <v>147</v>
      </c>
    </row>
    <row r="93" spans="1:8" s="1" customFormat="1" ht="20.100000000000001" customHeight="1" x14ac:dyDescent="0.2">
      <c r="A93" s="589"/>
      <c r="B93" s="386" t="s">
        <v>273</v>
      </c>
      <c r="C93" s="386" t="s">
        <v>274</v>
      </c>
      <c r="D93" s="386" t="s">
        <v>147</v>
      </c>
      <c r="E93" s="386" t="s">
        <v>273</v>
      </c>
      <c r="F93" s="386" t="s">
        <v>274</v>
      </c>
      <c r="G93" s="386" t="s">
        <v>147</v>
      </c>
      <c r="H93" s="550"/>
    </row>
    <row r="94" spans="1:8" s="1" customFormat="1" ht="20.100000000000001" customHeight="1" x14ac:dyDescent="0.2">
      <c r="A94" s="21" t="s">
        <v>139</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87" t="s">
        <v>275</v>
      </c>
      <c r="B95" s="13">
        <v>0</v>
      </c>
      <c r="C95" s="13">
        <v>0</v>
      </c>
      <c r="D95" s="14">
        <f>B95+C95</f>
        <v>0</v>
      </c>
      <c r="E95" s="13">
        <v>0</v>
      </c>
      <c r="F95" s="13">
        <v>0</v>
      </c>
      <c r="G95" s="18">
        <f>E95+F95</f>
        <v>0</v>
      </c>
      <c r="H95" s="20">
        <f>SUM(D95,G95)</f>
        <v>0</v>
      </c>
    </row>
    <row r="96" spans="1:8" s="1" customFormat="1" ht="20.100000000000001" customHeight="1" x14ac:dyDescent="0.2">
      <c r="A96" s="387" t="s">
        <v>276</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x14ac:dyDescent="0.2">
      <c r="A97" s="387" t="s">
        <v>277</v>
      </c>
      <c r="B97" s="113">
        <v>0</v>
      </c>
      <c r="C97" s="113">
        <v>0</v>
      </c>
      <c r="D97" s="114">
        <f t="shared" si="49"/>
        <v>0</v>
      </c>
      <c r="E97" s="113">
        <v>22272</v>
      </c>
      <c r="F97" s="113">
        <v>0</v>
      </c>
      <c r="G97" s="19">
        <f t="shared" si="50"/>
        <v>22272</v>
      </c>
      <c r="H97" s="20">
        <f t="shared" si="51"/>
        <v>22272</v>
      </c>
    </row>
    <row r="98" spans="1:8" s="1" customFormat="1" ht="20.100000000000001" customHeight="1" x14ac:dyDescent="0.2">
      <c r="A98" s="28" t="s">
        <v>278</v>
      </c>
      <c r="B98" s="113">
        <v>0</v>
      </c>
      <c r="C98" s="113">
        <v>0</v>
      </c>
      <c r="D98" s="114">
        <f t="shared" si="49"/>
        <v>0</v>
      </c>
      <c r="E98" s="113">
        <v>0</v>
      </c>
      <c r="F98" s="113">
        <v>0</v>
      </c>
      <c r="G98" s="19">
        <f t="shared" si="50"/>
        <v>0</v>
      </c>
      <c r="H98" s="20">
        <f t="shared" si="51"/>
        <v>0</v>
      </c>
    </row>
    <row r="99" spans="1:8" s="1" customFormat="1" ht="20.100000000000001" customHeight="1" x14ac:dyDescent="0.2">
      <c r="A99" s="387" t="s">
        <v>279</v>
      </c>
      <c r="B99" s="113">
        <v>0</v>
      </c>
      <c r="C99" s="113">
        <v>0</v>
      </c>
      <c r="D99" s="114">
        <f t="shared" si="49"/>
        <v>0</v>
      </c>
      <c r="E99" s="113">
        <v>0</v>
      </c>
      <c r="F99" s="113">
        <v>0</v>
      </c>
      <c r="G99" s="19">
        <f t="shared" si="50"/>
        <v>0</v>
      </c>
      <c r="H99" s="20">
        <f t="shared" si="51"/>
        <v>0</v>
      </c>
    </row>
    <row r="100" spans="1:8" s="1" customFormat="1" ht="20.100000000000001" customHeight="1" x14ac:dyDescent="0.2">
      <c r="A100" s="387" t="s">
        <v>280</v>
      </c>
      <c r="B100" s="113">
        <v>0</v>
      </c>
      <c r="C100" s="113">
        <v>0</v>
      </c>
      <c r="D100" s="114">
        <f t="shared" si="49"/>
        <v>0</v>
      </c>
      <c r="E100" s="113">
        <v>0</v>
      </c>
      <c r="F100" s="113">
        <v>0</v>
      </c>
      <c r="G100" s="19">
        <f t="shared" si="50"/>
        <v>0</v>
      </c>
      <c r="H100" s="20">
        <f t="shared" si="51"/>
        <v>0</v>
      </c>
    </row>
    <row r="101" spans="1:8" s="1" customFormat="1" ht="20.100000000000001" customHeight="1" x14ac:dyDescent="0.2">
      <c r="A101" s="387" t="s">
        <v>281</v>
      </c>
      <c r="B101" s="113">
        <v>0</v>
      </c>
      <c r="C101" s="113">
        <v>0</v>
      </c>
      <c r="D101" s="114">
        <f t="shared" si="49"/>
        <v>0</v>
      </c>
      <c r="E101" s="113">
        <v>0</v>
      </c>
      <c r="F101" s="113">
        <v>0</v>
      </c>
      <c r="G101" s="19">
        <f t="shared" si="50"/>
        <v>0</v>
      </c>
      <c r="H101" s="20">
        <f t="shared" si="51"/>
        <v>0</v>
      </c>
    </row>
    <row r="102" spans="1:8" s="1" customFormat="1" ht="20.100000000000001" customHeight="1" x14ac:dyDescent="0.2">
      <c r="A102" s="387" t="s">
        <v>282</v>
      </c>
      <c r="B102" s="113">
        <v>0</v>
      </c>
      <c r="C102" s="113">
        <v>0</v>
      </c>
      <c r="D102" s="114">
        <f t="shared" si="49"/>
        <v>0</v>
      </c>
      <c r="E102" s="113">
        <v>0</v>
      </c>
      <c r="F102" s="113">
        <v>0</v>
      </c>
      <c r="G102" s="19">
        <f t="shared" si="50"/>
        <v>0</v>
      </c>
      <c r="H102" s="20">
        <f t="shared" si="51"/>
        <v>0</v>
      </c>
    </row>
    <row r="103" spans="1:8" s="1" customFormat="1" ht="20.100000000000001" customHeight="1" x14ac:dyDescent="0.2">
      <c r="A103" s="387" t="s">
        <v>283</v>
      </c>
      <c r="B103" s="113">
        <v>0</v>
      </c>
      <c r="C103" s="113">
        <v>0</v>
      </c>
      <c r="D103" s="114">
        <f t="shared" si="49"/>
        <v>0</v>
      </c>
      <c r="E103" s="113">
        <v>0</v>
      </c>
      <c r="F103" s="113">
        <v>0</v>
      </c>
      <c r="G103" s="19">
        <f t="shared" si="50"/>
        <v>0</v>
      </c>
      <c r="H103" s="20">
        <f t="shared" si="51"/>
        <v>0</v>
      </c>
    </row>
    <row r="104" spans="1:8" s="1" customFormat="1" ht="20.100000000000001" customHeight="1" x14ac:dyDescent="0.2">
      <c r="A104" s="387" t="s">
        <v>284</v>
      </c>
      <c r="B104" s="113">
        <v>0</v>
      </c>
      <c r="C104" s="113">
        <v>0</v>
      </c>
      <c r="D104" s="114">
        <f t="shared" si="49"/>
        <v>0</v>
      </c>
      <c r="E104" s="113">
        <v>0</v>
      </c>
      <c r="F104" s="113">
        <v>0</v>
      </c>
      <c r="G104" s="19">
        <f t="shared" si="50"/>
        <v>0</v>
      </c>
      <c r="H104" s="20">
        <f t="shared" si="51"/>
        <v>0</v>
      </c>
    </row>
    <row r="105" spans="1:8" s="1" customFormat="1" ht="20.100000000000001" customHeight="1" x14ac:dyDescent="0.2">
      <c r="A105" s="387" t="s">
        <v>285</v>
      </c>
      <c r="B105" s="113">
        <v>48240</v>
      </c>
      <c r="C105" s="113">
        <v>0</v>
      </c>
      <c r="D105" s="114">
        <f t="shared" si="49"/>
        <v>48240</v>
      </c>
      <c r="E105" s="113">
        <v>0</v>
      </c>
      <c r="F105" s="113">
        <v>0</v>
      </c>
      <c r="G105" s="19">
        <f t="shared" si="50"/>
        <v>0</v>
      </c>
      <c r="H105" s="20">
        <f t="shared" si="51"/>
        <v>48240</v>
      </c>
    </row>
    <row r="106" spans="1:8" s="1" customFormat="1" ht="20.100000000000001" customHeight="1" x14ac:dyDescent="0.2">
      <c r="A106" s="387" t="s">
        <v>286</v>
      </c>
      <c r="B106" s="113">
        <v>0</v>
      </c>
      <c r="C106" s="113">
        <v>0</v>
      </c>
      <c r="D106" s="114">
        <f t="shared" si="49"/>
        <v>0</v>
      </c>
      <c r="E106" s="113">
        <v>0</v>
      </c>
      <c r="F106" s="113">
        <v>0</v>
      </c>
      <c r="G106" s="19">
        <f t="shared" si="50"/>
        <v>0</v>
      </c>
      <c r="H106" s="20">
        <f t="shared" si="51"/>
        <v>0</v>
      </c>
    </row>
    <row r="107" spans="1:8" s="1" customFormat="1" ht="20.100000000000001" customHeight="1" x14ac:dyDescent="0.2">
      <c r="A107" s="387" t="s">
        <v>287</v>
      </c>
      <c r="B107" s="113">
        <v>101576</v>
      </c>
      <c r="C107" s="113">
        <v>0</v>
      </c>
      <c r="D107" s="114">
        <f t="shared" si="49"/>
        <v>101576</v>
      </c>
      <c r="E107" s="113">
        <v>0</v>
      </c>
      <c r="F107" s="113">
        <v>0</v>
      </c>
      <c r="G107" s="19">
        <f t="shared" si="50"/>
        <v>0</v>
      </c>
      <c r="H107" s="20">
        <f t="shared" si="51"/>
        <v>101576</v>
      </c>
    </row>
    <row r="108" spans="1:8" s="1" customFormat="1" ht="20.100000000000001" customHeight="1" x14ac:dyDescent="0.2">
      <c r="A108" s="387" t="s">
        <v>288</v>
      </c>
      <c r="B108" s="113">
        <v>11852</v>
      </c>
      <c r="C108" s="113">
        <v>0</v>
      </c>
      <c r="D108" s="114">
        <f t="shared" si="49"/>
        <v>11852</v>
      </c>
      <c r="E108" s="113">
        <v>2831</v>
      </c>
      <c r="F108" s="113">
        <v>0</v>
      </c>
      <c r="G108" s="19">
        <f t="shared" si="50"/>
        <v>2831</v>
      </c>
      <c r="H108" s="20">
        <f t="shared" si="51"/>
        <v>14683</v>
      </c>
    </row>
    <row r="109" spans="1:8" s="1" customFormat="1" ht="20.100000000000001" customHeight="1" x14ac:dyDescent="0.2">
      <c r="A109" s="387" t="s">
        <v>289</v>
      </c>
      <c r="B109" s="113">
        <v>0</v>
      </c>
      <c r="C109" s="113">
        <v>0</v>
      </c>
      <c r="D109" s="114">
        <f t="shared" si="49"/>
        <v>0</v>
      </c>
      <c r="E109" s="113">
        <v>0</v>
      </c>
      <c r="F109" s="113">
        <v>0</v>
      </c>
      <c r="G109" s="19">
        <f t="shared" si="50"/>
        <v>0</v>
      </c>
      <c r="H109" s="20">
        <f t="shared" si="51"/>
        <v>0</v>
      </c>
    </row>
    <row r="110" spans="1:8" s="1" customFormat="1" ht="20.100000000000001" customHeight="1" thickBot="1" x14ac:dyDescent="0.25">
      <c r="A110" s="16" t="s">
        <v>147</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36" t="s">
        <v>270</v>
      </c>
      <c r="B113" s="537"/>
      <c r="C113" s="537"/>
      <c r="D113" s="538"/>
      <c r="E113" s="22" t="s">
        <v>294</v>
      </c>
      <c r="F113" s="542" t="s">
        <v>295</v>
      </c>
      <c r="G113" s="543"/>
      <c r="H113" s="544"/>
    </row>
    <row r="114" spans="1:14" s="1" customFormat="1" ht="20.100000000000001" customHeight="1" x14ac:dyDescent="0.2">
      <c r="A114" s="539" t="s">
        <v>139</v>
      </c>
      <c r="B114" s="540"/>
      <c r="C114" s="540"/>
      <c r="D114" s="541"/>
      <c r="E114" s="26" t="s">
        <v>296</v>
      </c>
      <c r="F114" s="525" t="s">
        <v>297</v>
      </c>
      <c r="G114" s="526"/>
      <c r="H114" s="527"/>
    </row>
    <row r="115" spans="1:14" s="1" customFormat="1" ht="20.100000000000001" customHeight="1" x14ac:dyDescent="0.2">
      <c r="A115" s="533" t="s">
        <v>275</v>
      </c>
      <c r="B115" s="534"/>
      <c r="C115" s="534"/>
      <c r="D115" s="535"/>
      <c r="E115" s="26" t="s">
        <v>298</v>
      </c>
      <c r="F115" s="586" t="s">
        <v>299</v>
      </c>
      <c r="G115" s="587"/>
      <c r="H115" s="588"/>
      <c r="K115" s="528"/>
      <c r="L115" s="528"/>
      <c r="M115" s="528"/>
      <c r="N115" s="528"/>
    </row>
    <row r="116" spans="1:14" s="1" customFormat="1" ht="20.100000000000001" customHeight="1" x14ac:dyDescent="0.2">
      <c r="A116" s="530" t="s">
        <v>276</v>
      </c>
      <c r="B116" s="531"/>
      <c r="C116" s="531"/>
      <c r="D116" s="532"/>
      <c r="E116" s="26" t="s">
        <v>300</v>
      </c>
      <c r="F116" s="574" t="s">
        <v>301</v>
      </c>
      <c r="G116" s="575"/>
      <c r="H116" s="576"/>
      <c r="K116" s="388"/>
      <c r="L116" s="388"/>
      <c r="M116" s="388"/>
      <c r="N116" s="388"/>
    </row>
    <row r="117" spans="1:14" s="1" customFormat="1" ht="20.100000000000001" customHeight="1" x14ac:dyDescent="0.2">
      <c r="A117" s="530" t="s">
        <v>277</v>
      </c>
      <c r="B117" s="531"/>
      <c r="C117" s="531"/>
      <c r="D117" s="532"/>
      <c r="E117" s="26" t="s">
        <v>302</v>
      </c>
      <c r="F117" s="574" t="s">
        <v>303</v>
      </c>
      <c r="G117" s="575"/>
      <c r="H117" s="576"/>
      <c r="K117" s="388"/>
      <c r="L117" s="388"/>
      <c r="M117" s="388"/>
      <c r="N117" s="388"/>
    </row>
    <row r="118" spans="1:14" s="1" customFormat="1" ht="20.100000000000001" customHeight="1" x14ac:dyDescent="0.2">
      <c r="A118" s="519" t="s">
        <v>278</v>
      </c>
      <c r="B118" s="520"/>
      <c r="C118" s="520"/>
      <c r="D118" s="521"/>
      <c r="E118" s="26" t="s">
        <v>304</v>
      </c>
      <c r="F118" s="522" t="s">
        <v>305</v>
      </c>
      <c r="G118" s="523"/>
      <c r="H118" s="524"/>
      <c r="K118" s="388"/>
      <c r="L118" s="388"/>
      <c r="M118" s="388"/>
      <c r="N118" s="388"/>
    </row>
    <row r="119" spans="1:14" s="1" customFormat="1" ht="20.100000000000001" customHeight="1" x14ac:dyDescent="0.2">
      <c r="A119" s="530" t="s">
        <v>279</v>
      </c>
      <c r="B119" s="531"/>
      <c r="C119" s="531"/>
      <c r="D119" s="532"/>
      <c r="E119" s="26" t="s">
        <v>306</v>
      </c>
      <c r="F119" s="574" t="s">
        <v>307</v>
      </c>
      <c r="G119" s="575"/>
      <c r="H119" s="576"/>
      <c r="K119" s="388"/>
      <c r="L119" s="388"/>
      <c r="M119" s="388"/>
      <c r="N119" s="388"/>
    </row>
    <row r="120" spans="1:14" s="1" customFormat="1" ht="20.100000000000001" customHeight="1" x14ac:dyDescent="0.2">
      <c r="A120" s="530" t="s">
        <v>280</v>
      </c>
      <c r="B120" s="531"/>
      <c r="C120" s="531"/>
      <c r="D120" s="532"/>
      <c r="E120" s="26" t="s">
        <v>308</v>
      </c>
      <c r="F120" s="574" t="s">
        <v>309</v>
      </c>
      <c r="G120" s="575"/>
      <c r="H120" s="576"/>
      <c r="K120" s="388"/>
      <c r="L120" s="388"/>
      <c r="M120" s="388"/>
      <c r="N120" s="388"/>
    </row>
    <row r="121" spans="1:14" s="1" customFormat="1" ht="20.100000000000001" customHeight="1" x14ac:dyDescent="0.2">
      <c r="A121" s="530" t="s">
        <v>281</v>
      </c>
      <c r="B121" s="531"/>
      <c r="C121" s="531"/>
      <c r="D121" s="532"/>
      <c r="E121" s="26" t="s">
        <v>310</v>
      </c>
      <c r="F121" s="574" t="s">
        <v>311</v>
      </c>
      <c r="G121" s="575"/>
      <c r="H121" s="576"/>
      <c r="K121" s="388"/>
      <c r="L121" s="388"/>
      <c r="M121" s="388"/>
      <c r="N121" s="388"/>
    </row>
    <row r="122" spans="1:14" s="1" customFormat="1" ht="20.100000000000001" customHeight="1" x14ac:dyDescent="0.2">
      <c r="A122" s="530" t="s">
        <v>282</v>
      </c>
      <c r="B122" s="531"/>
      <c r="C122" s="531"/>
      <c r="D122" s="532"/>
      <c r="E122" s="26" t="s">
        <v>312</v>
      </c>
      <c r="F122" s="574" t="s">
        <v>313</v>
      </c>
      <c r="G122" s="575"/>
      <c r="H122" s="576"/>
      <c r="K122" s="388"/>
      <c r="L122" s="388"/>
      <c r="M122" s="388"/>
      <c r="N122" s="388"/>
    </row>
    <row r="123" spans="1:14" s="1" customFormat="1" ht="20.100000000000001" customHeight="1" x14ac:dyDescent="0.2">
      <c r="A123" s="530" t="s">
        <v>314</v>
      </c>
      <c r="B123" s="531"/>
      <c r="C123" s="531"/>
      <c r="D123" s="532"/>
      <c r="E123" s="27"/>
      <c r="F123" s="583"/>
      <c r="G123" s="584"/>
      <c r="H123" s="585"/>
      <c r="K123" s="388"/>
      <c r="L123" s="388"/>
      <c r="M123" s="388"/>
      <c r="N123" s="388"/>
    </row>
    <row r="124" spans="1:14" s="1" customFormat="1" ht="20.100000000000001" customHeight="1" x14ac:dyDescent="0.2">
      <c r="A124" s="562" t="s">
        <v>315</v>
      </c>
      <c r="B124" s="563"/>
      <c r="C124" s="563"/>
      <c r="D124" s="564"/>
      <c r="E124" s="26" t="s">
        <v>316</v>
      </c>
      <c r="F124" s="574" t="s">
        <v>317</v>
      </c>
      <c r="G124" s="575"/>
      <c r="H124" s="576"/>
      <c r="K124" s="23"/>
      <c r="L124" s="23"/>
      <c r="M124" s="23"/>
      <c r="N124" s="23"/>
    </row>
    <row r="125" spans="1:14" s="1" customFormat="1" ht="20.100000000000001" customHeight="1" x14ac:dyDescent="0.2">
      <c r="A125" s="562" t="s">
        <v>318</v>
      </c>
      <c r="B125" s="563"/>
      <c r="C125" s="563"/>
      <c r="D125" s="564"/>
      <c r="E125" s="26" t="s">
        <v>319</v>
      </c>
      <c r="F125" s="574" t="s">
        <v>320</v>
      </c>
      <c r="G125" s="575"/>
      <c r="H125" s="576"/>
      <c r="K125" s="23"/>
      <c r="L125" s="23"/>
      <c r="M125" s="23"/>
      <c r="N125" s="23"/>
    </row>
    <row r="126" spans="1:14" s="1" customFormat="1" ht="20.100000000000001" customHeight="1" x14ac:dyDescent="0.2">
      <c r="A126" s="562" t="s">
        <v>321</v>
      </c>
      <c r="B126" s="563"/>
      <c r="C126" s="563"/>
      <c r="D126" s="564"/>
      <c r="E126" s="26" t="s">
        <v>322</v>
      </c>
      <c r="F126" s="574" t="s">
        <v>323</v>
      </c>
      <c r="G126" s="575"/>
      <c r="H126" s="576"/>
      <c r="K126" s="23"/>
      <c r="L126" s="23"/>
      <c r="M126" s="23"/>
      <c r="N126" s="23"/>
    </row>
    <row r="127" spans="1:14" s="1" customFormat="1" ht="20.100000000000001" customHeight="1" x14ac:dyDescent="0.2">
      <c r="A127" s="530" t="s">
        <v>284</v>
      </c>
      <c r="B127" s="531"/>
      <c r="C127" s="531"/>
      <c r="D127" s="532"/>
      <c r="E127" s="27"/>
      <c r="F127" s="580"/>
      <c r="G127" s="581"/>
      <c r="H127" s="582"/>
      <c r="K127" s="388"/>
      <c r="L127" s="388"/>
      <c r="M127" s="388"/>
      <c r="N127" s="388"/>
    </row>
    <row r="128" spans="1:14" s="1" customFormat="1" ht="20.100000000000001" customHeight="1" x14ac:dyDescent="0.2">
      <c r="A128" s="562" t="s">
        <v>324</v>
      </c>
      <c r="B128" s="563"/>
      <c r="C128" s="563"/>
      <c r="D128" s="564"/>
      <c r="E128" s="26" t="s">
        <v>325</v>
      </c>
      <c r="F128" s="574" t="s">
        <v>326</v>
      </c>
      <c r="G128" s="575"/>
      <c r="H128" s="576"/>
      <c r="K128" s="23"/>
      <c r="L128" s="23"/>
      <c r="M128" s="23"/>
      <c r="N128" s="23"/>
    </row>
    <row r="129" spans="1:14" s="1" customFormat="1" ht="20.100000000000001" customHeight="1" x14ac:dyDescent="0.2">
      <c r="A129" s="562" t="s">
        <v>327</v>
      </c>
      <c r="B129" s="563"/>
      <c r="C129" s="563"/>
      <c r="D129" s="564"/>
      <c r="E129" s="26" t="s">
        <v>328</v>
      </c>
      <c r="F129" s="574" t="s">
        <v>329</v>
      </c>
      <c r="G129" s="575"/>
      <c r="H129" s="576"/>
      <c r="K129" s="23"/>
      <c r="L129" s="23"/>
      <c r="M129" s="23"/>
      <c r="N129" s="23"/>
    </row>
    <row r="130" spans="1:14" s="1" customFormat="1" ht="20.100000000000001" customHeight="1" x14ac:dyDescent="0.2">
      <c r="A130" s="562" t="s">
        <v>330</v>
      </c>
      <c r="B130" s="563"/>
      <c r="C130" s="563"/>
      <c r="D130" s="564"/>
      <c r="E130" s="26" t="s">
        <v>331</v>
      </c>
      <c r="F130" s="574" t="s">
        <v>332</v>
      </c>
      <c r="G130" s="575"/>
      <c r="H130" s="576"/>
      <c r="K130" s="23"/>
      <c r="L130" s="23"/>
      <c r="M130" s="23"/>
      <c r="N130" s="23"/>
    </row>
    <row r="131" spans="1:14" s="1" customFormat="1" ht="20.100000000000001" customHeight="1" x14ac:dyDescent="0.2">
      <c r="A131" s="568" t="s">
        <v>333</v>
      </c>
      <c r="B131" s="569"/>
      <c r="C131" s="569"/>
      <c r="D131" s="570"/>
      <c r="E131" s="26" t="s">
        <v>334</v>
      </c>
      <c r="F131" s="577" t="s">
        <v>335</v>
      </c>
      <c r="G131" s="578"/>
      <c r="H131" s="579"/>
      <c r="K131" s="24"/>
      <c r="L131" s="24"/>
      <c r="M131" s="24"/>
      <c r="N131" s="24"/>
    </row>
    <row r="132" spans="1:14" s="1" customFormat="1" ht="20.100000000000001" customHeight="1" x14ac:dyDescent="0.2">
      <c r="A132" s="530" t="s">
        <v>285</v>
      </c>
      <c r="B132" s="531"/>
      <c r="C132" s="531"/>
      <c r="D132" s="532"/>
      <c r="E132" s="26" t="s">
        <v>296</v>
      </c>
      <c r="F132" s="574" t="s">
        <v>336</v>
      </c>
      <c r="G132" s="575"/>
      <c r="H132" s="576"/>
      <c r="K132" s="388"/>
      <c r="L132" s="388"/>
      <c r="M132" s="388"/>
      <c r="N132" s="388"/>
    </row>
    <row r="133" spans="1:14" s="1" customFormat="1" ht="20.100000000000001" customHeight="1" x14ac:dyDescent="0.2">
      <c r="A133" s="530" t="s">
        <v>286</v>
      </c>
      <c r="B133" s="531"/>
      <c r="C133" s="531"/>
      <c r="D133" s="532"/>
      <c r="E133" s="26" t="s">
        <v>296</v>
      </c>
      <c r="F133" s="574" t="s">
        <v>337</v>
      </c>
      <c r="G133" s="575"/>
      <c r="H133" s="576"/>
      <c r="K133" s="388"/>
      <c r="L133" s="388"/>
      <c r="M133" s="388"/>
      <c r="N133" s="388"/>
    </row>
    <row r="134" spans="1:14" s="1" customFormat="1" ht="20.100000000000001" customHeight="1" x14ac:dyDescent="0.2">
      <c r="A134" s="530" t="s">
        <v>287</v>
      </c>
      <c r="B134" s="531"/>
      <c r="C134" s="531"/>
      <c r="D134" s="532"/>
      <c r="E134" s="26" t="s">
        <v>338</v>
      </c>
      <c r="F134" s="574" t="s">
        <v>339</v>
      </c>
      <c r="G134" s="575"/>
      <c r="H134" s="576"/>
      <c r="K134" s="388"/>
      <c r="L134" s="388"/>
      <c r="M134" s="388"/>
      <c r="N134" s="388"/>
    </row>
    <row r="135" spans="1:14" s="1" customFormat="1" ht="20.100000000000001" customHeight="1" thickBot="1" x14ac:dyDescent="0.25">
      <c r="A135" s="565" t="s">
        <v>289</v>
      </c>
      <c r="B135" s="566"/>
      <c r="C135" s="566"/>
      <c r="D135" s="567"/>
      <c r="E135" s="25" t="s">
        <v>296</v>
      </c>
      <c r="F135" s="571" t="s">
        <v>340</v>
      </c>
      <c r="G135" s="572"/>
      <c r="H135" s="573"/>
      <c r="K135" s="388"/>
      <c r="L135" s="388"/>
      <c r="M135" s="388"/>
      <c r="N135" s="388"/>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341</v>
      </c>
      <c r="B1" s="8" t="s">
        <v>342</v>
      </c>
    </row>
    <row r="2" spans="1:2" x14ac:dyDescent="0.2">
      <c r="A2" s="8">
        <v>1</v>
      </c>
      <c r="B2" s="8" t="s">
        <v>343</v>
      </c>
    </row>
    <row r="3" spans="1:2" x14ac:dyDescent="0.2">
      <c r="A3" s="8">
        <v>2</v>
      </c>
      <c r="B3" s="8" t="s">
        <v>344</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A2" sqref="A2:E2"/>
    </sheetView>
  </sheetViews>
  <sheetFormatPr defaultColWidth="8.5703125" defaultRowHeight="12.75" x14ac:dyDescent="0.2"/>
  <cols>
    <col min="5" max="5" width="17.42578125" customWidth="1"/>
  </cols>
  <sheetData>
    <row r="1" spans="1:19" s="2" customFormat="1" ht="30" customHeight="1" x14ac:dyDescent="0.2">
      <c r="A1" s="414" t="s">
        <v>61</v>
      </c>
      <c r="B1" s="414"/>
      <c r="C1" s="414"/>
      <c r="D1" s="414"/>
      <c r="E1" s="414"/>
      <c r="F1" s="414"/>
      <c r="G1" s="414"/>
      <c r="H1" s="414"/>
      <c r="I1" s="414"/>
      <c r="J1" s="414"/>
      <c r="K1" s="414"/>
      <c r="L1" s="414"/>
      <c r="M1" s="414"/>
      <c r="N1" s="414"/>
      <c r="O1" s="414"/>
      <c r="P1" s="414"/>
      <c r="Q1" s="414"/>
    </row>
    <row r="2" spans="1:19" s="2" customFormat="1" ht="30" customHeight="1" thickBot="1" x14ac:dyDescent="0.25">
      <c r="A2" s="416" t="s">
        <v>62</v>
      </c>
      <c r="B2" s="416"/>
      <c r="C2" s="416"/>
      <c r="D2" s="416"/>
      <c r="E2" s="416"/>
      <c r="F2" s="380"/>
      <c r="G2" s="380"/>
      <c r="H2" s="380"/>
      <c r="I2" s="380"/>
      <c r="J2" s="380"/>
      <c r="K2" s="380"/>
      <c r="L2" s="380"/>
      <c r="M2" s="380"/>
      <c r="N2" s="380"/>
      <c r="O2" s="380"/>
      <c r="P2" s="380"/>
    </row>
    <row r="3" spans="1:19" s="2" customFormat="1" ht="30" customHeight="1" thickBot="1" x14ac:dyDescent="0.25">
      <c r="A3" s="415" t="s">
        <v>63</v>
      </c>
      <c r="B3" s="415"/>
      <c r="C3" s="426" t="s">
        <v>201</v>
      </c>
      <c r="D3" s="427"/>
      <c r="E3" s="427"/>
      <c r="F3" s="427"/>
      <c r="G3" s="427"/>
      <c r="H3" s="427"/>
      <c r="I3" s="427"/>
      <c r="J3" s="427"/>
      <c r="K3" s="427"/>
      <c r="L3" s="427"/>
      <c r="M3" s="427"/>
      <c r="N3" s="427"/>
      <c r="O3" s="427"/>
      <c r="P3" s="427"/>
      <c r="Q3" s="427"/>
      <c r="R3" s="427"/>
      <c r="S3" s="428"/>
    </row>
    <row r="4" spans="1:19" s="5" customFormat="1" ht="30" customHeight="1" thickBot="1" x14ac:dyDescent="0.25">
      <c r="A4" s="415" t="s">
        <v>64</v>
      </c>
      <c r="B4" s="415"/>
      <c r="C4" s="415"/>
      <c r="D4" s="421"/>
      <c r="E4" s="422" t="s">
        <v>364</v>
      </c>
      <c r="F4" s="423"/>
      <c r="G4" s="423"/>
      <c r="H4" s="424"/>
      <c r="I4" s="4"/>
      <c r="J4" s="4"/>
      <c r="K4" s="4"/>
      <c r="L4" s="4"/>
      <c r="M4" s="4"/>
      <c r="N4" s="4"/>
      <c r="O4" s="4"/>
      <c r="P4" s="4"/>
      <c r="Q4" s="4"/>
      <c r="R4" s="4"/>
      <c r="S4" s="4"/>
    </row>
    <row r="5" spans="1:19" s="5" customFormat="1" ht="30" customHeight="1" thickBot="1" x14ac:dyDescent="0.25">
      <c r="A5" s="415" t="s">
        <v>65</v>
      </c>
      <c r="B5" s="415"/>
      <c r="C5" s="415"/>
      <c r="D5" s="415"/>
      <c r="E5" s="415"/>
      <c r="F5" s="415"/>
      <c r="G5" s="415"/>
      <c r="H5" s="4"/>
      <c r="I5" s="4"/>
      <c r="J5" s="4"/>
      <c r="K5" s="4"/>
      <c r="L5" s="4"/>
      <c r="M5" s="4"/>
      <c r="N5" s="4"/>
      <c r="O5" s="4"/>
      <c r="P5" s="4"/>
      <c r="Q5" s="4"/>
      <c r="R5" s="4"/>
      <c r="S5" s="4"/>
    </row>
    <row r="6" spans="1:19" s="5" customFormat="1" ht="30" customHeight="1" thickBot="1" x14ac:dyDescent="0.25">
      <c r="A6" s="417" t="s">
        <v>66</v>
      </c>
      <c r="B6" s="417"/>
      <c r="C6" s="417"/>
      <c r="D6" s="417"/>
      <c r="E6" s="417"/>
      <c r="F6" s="417"/>
      <c r="G6" s="417"/>
      <c r="H6" s="418" t="s">
        <v>365</v>
      </c>
      <c r="I6" s="419"/>
      <c r="J6" s="419"/>
      <c r="K6" s="419"/>
      <c r="L6" s="419"/>
      <c r="M6" s="419"/>
      <c r="N6" s="419"/>
      <c r="O6" s="419"/>
      <c r="P6" s="419"/>
      <c r="Q6" s="420"/>
      <c r="R6" s="4"/>
      <c r="S6" s="4"/>
    </row>
    <row r="7" spans="1:19" s="5" customFormat="1" ht="30" customHeight="1" thickBot="1" x14ac:dyDescent="0.25">
      <c r="A7" s="417" t="s">
        <v>67</v>
      </c>
      <c r="B7" s="417"/>
      <c r="C7" s="417"/>
      <c r="D7" s="417"/>
      <c r="E7" s="417"/>
      <c r="F7" s="417"/>
      <c r="G7" s="417"/>
      <c r="H7" s="425" t="s">
        <v>366</v>
      </c>
      <c r="I7" s="419"/>
      <c r="J7" s="419"/>
      <c r="K7" s="419"/>
      <c r="L7" s="419"/>
      <c r="M7" s="419"/>
      <c r="N7" s="419"/>
      <c r="O7" s="419"/>
      <c r="P7" s="419"/>
      <c r="Q7" s="420"/>
      <c r="R7" s="4"/>
      <c r="S7" s="4"/>
    </row>
    <row r="8" spans="1:19" s="5" customFormat="1" ht="30" customHeight="1" thickBot="1" x14ac:dyDescent="0.25">
      <c r="A8" s="417" t="s">
        <v>68</v>
      </c>
      <c r="B8" s="417"/>
      <c r="C8" s="417"/>
      <c r="D8" s="417"/>
      <c r="E8" s="417"/>
      <c r="F8" s="417"/>
      <c r="G8" s="417"/>
      <c r="H8" s="418" t="s">
        <v>367</v>
      </c>
      <c r="I8" s="419"/>
      <c r="J8" s="419"/>
      <c r="K8" s="419"/>
      <c r="L8" s="419"/>
      <c r="M8" s="419"/>
      <c r="N8" s="419"/>
      <c r="O8" s="419"/>
      <c r="P8" s="419"/>
      <c r="Q8" s="420"/>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DFC57DC-7ADE-432C-8EEA-FB5BB1069096}"/>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zoomScale="80" zoomScaleNormal="80" workbookViewId="0">
      <selection activeCell="E13" sqref="E13:E15"/>
    </sheetView>
  </sheetViews>
  <sheetFormatPr defaultRowHeight="12.75" x14ac:dyDescent="0.2"/>
  <cols>
    <col min="1" max="1" width="54.42578125" customWidth="1"/>
    <col min="2" max="6" width="20.5703125" customWidth="1"/>
  </cols>
  <sheetData>
    <row r="1" spans="1:6" ht="23.25" x14ac:dyDescent="0.35">
      <c r="A1" s="98" t="s">
        <v>69</v>
      </c>
      <c r="B1" s="99"/>
      <c r="C1" s="99"/>
      <c r="D1" s="99"/>
      <c r="E1" s="99"/>
      <c r="F1" s="169"/>
    </row>
    <row r="2" spans="1:6" ht="22.5" customHeight="1" x14ac:dyDescent="0.2">
      <c r="A2" s="178" t="str">
        <f>'Institution ID'!C3</f>
        <v>Old Dominion University</v>
      </c>
      <c r="B2" s="178"/>
      <c r="C2" s="178"/>
      <c r="D2" s="178"/>
      <c r="E2" s="178"/>
      <c r="F2" s="169"/>
    </row>
    <row r="3" spans="1:6" ht="15" x14ac:dyDescent="0.2">
      <c r="A3" s="100"/>
      <c r="B3" s="100"/>
      <c r="C3" s="100"/>
      <c r="D3" s="100"/>
      <c r="E3" s="100"/>
      <c r="F3" s="169"/>
    </row>
    <row r="4" spans="1:6" ht="85.5" customHeight="1" x14ac:dyDescent="0.2">
      <c r="A4" s="435" t="s">
        <v>70</v>
      </c>
      <c r="B4" s="436"/>
      <c r="C4" s="436"/>
      <c r="D4" s="436"/>
      <c r="E4" s="436"/>
      <c r="F4" s="436"/>
    </row>
    <row r="5" spans="1:6" ht="15" x14ac:dyDescent="0.2">
      <c r="A5" s="169"/>
      <c r="B5" s="101"/>
      <c r="C5" s="101"/>
      <c r="D5" s="101"/>
      <c r="E5" s="101"/>
      <c r="F5" s="101"/>
    </row>
    <row r="6" spans="1:6" ht="18" x14ac:dyDescent="0.25">
      <c r="A6" s="169"/>
      <c r="B6" s="429" t="s">
        <v>71</v>
      </c>
      <c r="C6" s="430"/>
      <c r="D6" s="430"/>
      <c r="E6" s="430"/>
      <c r="F6" s="431"/>
    </row>
    <row r="7" spans="1:6" ht="15" x14ac:dyDescent="0.2">
      <c r="B7" s="179" t="s">
        <v>72</v>
      </c>
      <c r="C7" s="432" t="s">
        <v>73</v>
      </c>
      <c r="D7" s="433"/>
      <c r="E7" s="433" t="s">
        <v>74</v>
      </c>
      <c r="F7" s="434"/>
    </row>
    <row r="8" spans="1:6" ht="30" x14ac:dyDescent="0.2">
      <c r="B8" s="180" t="s">
        <v>75</v>
      </c>
      <c r="C8" s="181" t="s">
        <v>76</v>
      </c>
      <c r="D8" s="182" t="s">
        <v>77</v>
      </c>
      <c r="E8" s="181" t="s">
        <v>76</v>
      </c>
      <c r="F8" s="182" t="s">
        <v>77</v>
      </c>
    </row>
    <row r="9" spans="1:6" ht="15" x14ac:dyDescent="0.2">
      <c r="A9" s="118" t="s">
        <v>78</v>
      </c>
      <c r="B9" s="126">
        <v>7590</v>
      </c>
      <c r="C9" s="129">
        <v>8045</v>
      </c>
      <c r="D9" s="119">
        <f>IF(C9=0,"%",C9/B9-1)</f>
        <v>5.9947299077733884E-2</v>
      </c>
      <c r="E9" s="129">
        <v>8528</v>
      </c>
      <c r="F9" s="119">
        <f>IF(E9=0,"%",E9/C9-1)</f>
        <v>6.0037290242386465E-2</v>
      </c>
    </row>
    <row r="10" spans="1:6" ht="15" x14ac:dyDescent="0.2">
      <c r="A10" s="116" t="s">
        <v>79</v>
      </c>
      <c r="B10" s="127">
        <v>18</v>
      </c>
      <c r="C10" s="130">
        <v>18</v>
      </c>
      <c r="D10" s="120">
        <f t="shared" ref="D10:D15" si="0">IF(C10=0,"%",C10/B10-1)</f>
        <v>0</v>
      </c>
      <c r="E10" s="130">
        <v>18</v>
      </c>
      <c r="F10" s="120">
        <f t="shared" ref="F10:F15" si="1">IF(E10=0,"%",E10/C10-1)</f>
        <v>0</v>
      </c>
    </row>
    <row r="11" spans="1:6" ht="15" x14ac:dyDescent="0.2">
      <c r="A11" s="117" t="s">
        <v>80</v>
      </c>
      <c r="B11" s="128">
        <v>4654</v>
      </c>
      <c r="C11" s="131">
        <v>4794</v>
      </c>
      <c r="D11" s="121">
        <f t="shared" si="0"/>
        <v>3.0081650193382048E-2</v>
      </c>
      <c r="E11" s="131">
        <v>4937</v>
      </c>
      <c r="F11" s="121">
        <f t="shared" si="1"/>
        <v>2.98289528577389E-2</v>
      </c>
    </row>
    <row r="12" spans="1:6" ht="15" x14ac:dyDescent="0.2">
      <c r="A12" s="123" t="s">
        <v>81</v>
      </c>
      <c r="B12" s="124">
        <f>SUM(B9:B11)</f>
        <v>12262</v>
      </c>
      <c r="C12" s="125">
        <f>SUM(C9:C11)</f>
        <v>12857</v>
      </c>
      <c r="D12" s="121">
        <f t="shared" si="0"/>
        <v>4.852389496003906E-2</v>
      </c>
      <c r="E12" s="125">
        <f>SUM(E9:E11)</f>
        <v>13483</v>
      </c>
      <c r="F12" s="121">
        <f>IF(E12=0,"%",E12/C12-1)</f>
        <v>4.8689429882554203E-2</v>
      </c>
    </row>
    <row r="13" spans="1:6" x14ac:dyDescent="0.2">
      <c r="A13" s="116" t="s">
        <v>82</v>
      </c>
      <c r="B13" s="389">
        <v>27465</v>
      </c>
      <c r="C13" s="390">
        <v>28289</v>
      </c>
      <c r="D13" s="120">
        <f t="shared" si="0"/>
        <v>3.0001820498816612E-2</v>
      </c>
      <c r="E13" s="390">
        <v>29138</v>
      </c>
      <c r="F13" s="120">
        <f t="shared" si="1"/>
        <v>3.0011665311605151E-2</v>
      </c>
    </row>
    <row r="14" spans="1:6" x14ac:dyDescent="0.2">
      <c r="A14" s="116" t="s">
        <v>83</v>
      </c>
      <c r="B14" s="389">
        <v>543</v>
      </c>
      <c r="C14" s="390">
        <v>543</v>
      </c>
      <c r="D14" s="120">
        <f t="shared" si="0"/>
        <v>0</v>
      </c>
      <c r="E14" s="390">
        <v>543</v>
      </c>
      <c r="F14" s="120">
        <f t="shared" si="1"/>
        <v>0</v>
      </c>
    </row>
    <row r="15" spans="1:6" x14ac:dyDescent="0.2">
      <c r="A15" s="117" t="s">
        <v>84</v>
      </c>
      <c r="B15" s="391">
        <v>4654</v>
      </c>
      <c r="C15" s="392">
        <v>4794</v>
      </c>
      <c r="D15" s="121">
        <f t="shared" si="0"/>
        <v>3.0081650193382048E-2</v>
      </c>
      <c r="E15" s="392">
        <v>4937</v>
      </c>
      <c r="F15" s="121">
        <f t="shared" si="1"/>
        <v>2.98289528577389E-2</v>
      </c>
    </row>
    <row r="16" spans="1:6" ht="15" x14ac:dyDescent="0.2">
      <c r="A16" s="123" t="s">
        <v>85</v>
      </c>
      <c r="B16" s="124">
        <f>SUM(B13:B15)</f>
        <v>32662</v>
      </c>
      <c r="C16" s="125">
        <f>SUM(C13:C15)</f>
        <v>33626</v>
      </c>
      <c r="D16" s="121">
        <f t="shared" ref="D16" si="2">IF(C16=0,"%",C16/B16-1)</f>
        <v>2.9514420427408039E-2</v>
      </c>
      <c r="E16" s="125">
        <f>SUM(E13:E15)</f>
        <v>34618</v>
      </c>
      <c r="F16" s="121">
        <f>IF(E16=0,"%",E16/C16-1)</f>
        <v>2.9500981383453251E-2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A3" zoomScaleNormal="100" zoomScalePageLayoutView="150" workbookViewId="0">
      <selection activeCell="A3" sqref="A3:G3"/>
    </sheetView>
  </sheetViews>
  <sheetFormatPr defaultColWidth="8.5703125" defaultRowHeight="12.75" x14ac:dyDescent="0.2"/>
  <cols>
    <col min="1" max="1" width="39.5703125" customWidth="1"/>
    <col min="2" max="2" width="19.140625" bestFit="1" customWidth="1"/>
    <col min="3" max="3" width="20.5703125" customWidth="1"/>
    <col min="4" max="4" width="7.42578125" style="158" bestFit="1" customWidth="1"/>
    <col min="5" max="5" width="20.5703125" customWidth="1"/>
    <col min="6" max="6" width="7.42578125" style="158" customWidth="1"/>
    <col min="7" max="7" width="20.5703125" customWidth="1"/>
    <col min="8" max="8" width="7.42578125" style="158" customWidth="1"/>
    <col min="9" max="9" width="23.140625" bestFit="1" customWidth="1"/>
    <col min="10" max="10" width="7.42578125" style="158" customWidth="1"/>
    <col min="11" max="11" width="23.140625" bestFit="1" customWidth="1"/>
    <col min="12" max="12" width="7.42578125" style="158" customWidth="1"/>
    <col min="13" max="13" width="23.140625" bestFit="1" customWidth="1"/>
    <col min="14" max="14" width="7.42578125" style="158" customWidth="1"/>
    <col min="15" max="15" width="23.140625" bestFit="1" customWidth="1"/>
    <col min="16" max="16" width="7.42578125" style="158" customWidth="1"/>
    <col min="17" max="17" width="15.140625" bestFit="1" customWidth="1"/>
  </cols>
  <sheetData>
    <row r="1" spans="1:18" s="1" customFormat="1" ht="20.100000000000001" customHeight="1" x14ac:dyDescent="0.2">
      <c r="A1" s="57" t="s">
        <v>86</v>
      </c>
      <c r="B1" s="57"/>
      <c r="C1" s="57"/>
      <c r="D1" s="153"/>
      <c r="E1" s="57"/>
      <c r="F1" s="153"/>
      <c r="G1" s="57"/>
      <c r="H1" s="153"/>
      <c r="J1" s="153"/>
      <c r="L1" s="153"/>
      <c r="N1" s="153"/>
      <c r="P1" s="153"/>
    </row>
    <row r="2" spans="1:18" s="1" customFormat="1" ht="20.100000000000001" customHeight="1" x14ac:dyDescent="0.2">
      <c r="A2" s="437" t="str">
        <f>'Institution ID'!C3</f>
        <v>Old Dominion University</v>
      </c>
      <c r="B2" s="437"/>
      <c r="C2" s="437"/>
      <c r="D2" s="437"/>
      <c r="E2" s="437"/>
      <c r="F2" s="437"/>
      <c r="G2" s="437"/>
      <c r="H2" s="381"/>
    </row>
    <row r="3" spans="1:18" s="2" customFormat="1" ht="147" customHeight="1" x14ac:dyDescent="0.2">
      <c r="A3" s="439" t="s">
        <v>368</v>
      </c>
      <c r="B3" s="440"/>
      <c r="C3" s="440"/>
      <c r="D3" s="440"/>
      <c r="E3" s="440"/>
      <c r="F3" s="440"/>
      <c r="G3" s="441"/>
      <c r="H3" s="152"/>
      <c r="I3" s="442" t="s">
        <v>87</v>
      </c>
      <c r="J3" s="443"/>
      <c r="K3" s="443"/>
      <c r="L3" s="443"/>
      <c r="M3" s="443"/>
      <c r="N3" s="443"/>
      <c r="O3" s="444"/>
    </row>
    <row r="4" spans="1:18" ht="15" customHeight="1" x14ac:dyDescent="0.2">
      <c r="A4" s="438" t="s">
        <v>88</v>
      </c>
      <c r="B4" s="104" t="s">
        <v>89</v>
      </c>
      <c r="C4" s="104" t="s">
        <v>90</v>
      </c>
      <c r="D4" s="154"/>
      <c r="E4" s="104" t="s">
        <v>91</v>
      </c>
      <c r="F4" s="154"/>
      <c r="G4" s="104" t="s">
        <v>92</v>
      </c>
      <c r="H4" s="154"/>
      <c r="I4" s="104" t="s">
        <v>93</v>
      </c>
      <c r="J4" s="154"/>
      <c r="K4" s="104" t="s">
        <v>94</v>
      </c>
      <c r="L4" s="154"/>
      <c r="M4" s="136" t="s">
        <v>95</v>
      </c>
      <c r="N4" s="154"/>
      <c r="O4" s="104" t="s">
        <v>96</v>
      </c>
      <c r="P4" s="154"/>
    </row>
    <row r="5" spans="1:18" ht="30" customHeight="1" x14ac:dyDescent="0.2">
      <c r="A5" s="438"/>
      <c r="B5" s="105" t="s">
        <v>97</v>
      </c>
      <c r="C5" s="105" t="s">
        <v>97</v>
      </c>
      <c r="D5" s="159" t="s">
        <v>369</v>
      </c>
      <c r="E5" s="105" t="s">
        <v>98</v>
      </c>
      <c r="F5" s="159" t="s">
        <v>369</v>
      </c>
      <c r="G5" s="105" t="s">
        <v>98</v>
      </c>
      <c r="H5" s="159" t="s">
        <v>369</v>
      </c>
      <c r="I5" s="105" t="s">
        <v>99</v>
      </c>
      <c r="J5" s="159" t="s">
        <v>369</v>
      </c>
      <c r="K5" s="105" t="s">
        <v>99</v>
      </c>
      <c r="L5" s="159" t="s">
        <v>369</v>
      </c>
      <c r="M5" s="105" t="s">
        <v>99</v>
      </c>
      <c r="N5" s="159" t="s">
        <v>369</v>
      </c>
      <c r="O5" s="105" t="s">
        <v>99</v>
      </c>
      <c r="P5" s="159" t="s">
        <v>369</v>
      </c>
      <c r="Q5" s="133" t="s">
        <v>370</v>
      </c>
      <c r="R5" s="160" t="s">
        <v>100</v>
      </c>
    </row>
    <row r="6" spans="1:18" ht="15" customHeight="1" x14ac:dyDescent="0.2">
      <c r="A6" s="106" t="s">
        <v>101</v>
      </c>
      <c r="B6" s="106"/>
      <c r="C6" s="106"/>
      <c r="D6" s="155"/>
      <c r="E6" s="106"/>
      <c r="F6" s="155"/>
      <c r="G6" s="106"/>
      <c r="H6" s="155"/>
      <c r="J6" s="155"/>
      <c r="L6" s="155"/>
      <c r="N6" s="155"/>
      <c r="O6" s="122"/>
      <c r="P6" s="155"/>
      <c r="Q6" s="132"/>
      <c r="R6" s="161"/>
    </row>
    <row r="7" spans="1:18" ht="15" customHeight="1" x14ac:dyDescent="0.2">
      <c r="A7" s="107" t="s">
        <v>102</v>
      </c>
      <c r="B7" s="393">
        <v>90787202</v>
      </c>
      <c r="C7" s="393">
        <v>95506123</v>
      </c>
      <c r="D7" s="155">
        <f>IF(B7=0,"%",C7/B7-1)</f>
        <v>5.1977821719849882E-2</v>
      </c>
      <c r="E7" s="393">
        <v>99835129</v>
      </c>
      <c r="F7" s="155">
        <f>IF(C7=0,"%",E7/C7-1)</f>
        <v>4.5326999610276308E-2</v>
      </c>
      <c r="G7" s="393">
        <v>104401923</v>
      </c>
      <c r="H7" s="155">
        <f>IF(E7=0,"%",G7/E7-1)</f>
        <v>4.5743357530994899E-2</v>
      </c>
      <c r="I7" s="393">
        <v>102646879</v>
      </c>
      <c r="J7" s="155">
        <f>IF(G7=0,"%",I7/G7-1)</f>
        <v>-1.6810456642642468E-2</v>
      </c>
      <c r="K7" s="393">
        <v>100891835</v>
      </c>
      <c r="L7" s="155">
        <f>IF(I7=0,"%",K7/I7-1)</f>
        <v>-1.7097879809867433E-2</v>
      </c>
      <c r="M7" s="394">
        <v>99136791</v>
      </c>
      <c r="N7" s="155">
        <f>IF(K7=0,"%",M7/K7-1)</f>
        <v>-1.7395302603030238E-2</v>
      </c>
      <c r="O7" s="393">
        <v>99136791</v>
      </c>
      <c r="P7" s="155">
        <f>IF(M7=0,"%",O7/M7-1)</f>
        <v>0</v>
      </c>
      <c r="Q7" s="132" t="str">
        <f t="shared" ref="Q7:Q26" si="0">IF(O13=0,"%",O13/B13-1)</f>
        <v>%</v>
      </c>
      <c r="R7" s="161">
        <f t="shared" ref="R7:R26" si="1">IF(B7=0,"%",(O7/B7)^(1/7)-1)</f>
        <v>1.2648219899851432E-2</v>
      </c>
    </row>
    <row r="8" spans="1:18" ht="15" customHeight="1" x14ac:dyDescent="0.2">
      <c r="A8" s="107" t="s">
        <v>103</v>
      </c>
      <c r="B8" s="393">
        <v>18372341</v>
      </c>
      <c r="C8" s="393">
        <v>18236963</v>
      </c>
      <c r="D8" s="155">
        <f>IF(B8=0,"%",C8/B8-1)</f>
        <v>-7.3685764922390984E-3</v>
      </c>
      <c r="E8" s="393">
        <v>18280314</v>
      </c>
      <c r="F8" s="155">
        <f>IF(C8=0,"%",E8/C8-1)</f>
        <v>2.3770953529926864E-3</v>
      </c>
      <c r="G8" s="393">
        <v>18215368</v>
      </c>
      <c r="H8" s="155">
        <f>IF(E8=0,"%",G8/E8-1)</f>
        <v>-3.552783611922683E-3</v>
      </c>
      <c r="I8" s="393">
        <v>17621777</v>
      </c>
      <c r="J8" s="155">
        <f>IF(G8=0,"%",I8/G8-1)</f>
        <v>-3.2587373474969095E-2</v>
      </c>
      <c r="K8" s="393">
        <v>17028186</v>
      </c>
      <c r="L8" s="155">
        <f>IF(I8=0,"%",K8/I8-1)</f>
        <v>-3.368508181666352E-2</v>
      </c>
      <c r="M8" s="394">
        <v>16434595</v>
      </c>
      <c r="N8" s="155">
        <f>IF(K8=0,"%",M8/K8-1)</f>
        <v>-3.4859320893018242E-2</v>
      </c>
      <c r="O8" s="393">
        <v>16434595</v>
      </c>
      <c r="P8" s="155">
        <f>IF(M8=0,"%",O8/M8-1)</f>
        <v>0</v>
      </c>
      <c r="Q8" s="132" t="str">
        <f t="shared" si="0"/>
        <v>%</v>
      </c>
      <c r="R8" s="161">
        <f t="shared" si="1"/>
        <v>-1.5796444080605432E-2</v>
      </c>
    </row>
    <row r="9" spans="1:18" ht="15" customHeight="1" x14ac:dyDescent="0.2">
      <c r="A9" s="107" t="s">
        <v>104</v>
      </c>
      <c r="B9" s="393">
        <v>20448231</v>
      </c>
      <c r="C9" s="393">
        <v>21376032</v>
      </c>
      <c r="D9" s="155">
        <f t="shared" ref="D9:D26" si="2">IF(B9=0,"%",C9/B9-1)</f>
        <v>4.5373166999140402E-2</v>
      </c>
      <c r="E9" s="393">
        <v>22618910</v>
      </c>
      <c r="F9" s="155">
        <f t="shared" ref="F9:P26" si="3">IF(C9=0,"%",E9/C9-1)</f>
        <v>5.8143531970760609E-2</v>
      </c>
      <c r="G9" s="393">
        <v>24102479</v>
      </c>
      <c r="H9" s="155">
        <f t="shared" si="3"/>
        <v>6.5589765377730425E-2</v>
      </c>
      <c r="I9" s="393">
        <v>24160261</v>
      </c>
      <c r="J9" s="155">
        <f t="shared" si="3"/>
        <v>2.3973467625466593E-3</v>
      </c>
      <c r="K9" s="393">
        <v>24191495</v>
      </c>
      <c r="L9" s="155">
        <f t="shared" si="3"/>
        <v>1.292784047324691E-3</v>
      </c>
      <c r="M9" s="394">
        <v>24409833</v>
      </c>
      <c r="N9" s="155">
        <f t="shared" si="3"/>
        <v>9.0254033494003849E-3</v>
      </c>
      <c r="O9" s="393">
        <v>24409833</v>
      </c>
      <c r="P9" s="155">
        <f t="shared" si="3"/>
        <v>0</v>
      </c>
      <c r="Q9" s="132" t="str">
        <f t="shared" si="0"/>
        <v>%</v>
      </c>
      <c r="R9" s="161">
        <f t="shared" si="1"/>
        <v>2.562124736335436E-2</v>
      </c>
    </row>
    <row r="10" spans="1:18" ht="15" customHeight="1" x14ac:dyDescent="0.2">
      <c r="A10" s="107" t="s">
        <v>105</v>
      </c>
      <c r="B10" s="393">
        <v>6413725</v>
      </c>
      <c r="C10" s="393">
        <v>6059153</v>
      </c>
      <c r="D10" s="155">
        <f t="shared" si="2"/>
        <v>-5.5283318196523878E-2</v>
      </c>
      <c r="E10" s="393">
        <v>5974126</v>
      </c>
      <c r="F10" s="155">
        <f t="shared" si="3"/>
        <v>-1.4032819438624555E-2</v>
      </c>
      <c r="G10" s="393">
        <v>5837386</v>
      </c>
      <c r="H10" s="155">
        <f t="shared" si="3"/>
        <v>-2.2888703720008619E-2</v>
      </c>
      <c r="I10" s="393">
        <v>5586777</v>
      </c>
      <c r="J10" s="155">
        <f t="shared" si="3"/>
        <v>-4.2931716353861171E-2</v>
      </c>
      <c r="K10" s="393">
        <v>5336168</v>
      </c>
      <c r="L10" s="155">
        <f t="shared" si="3"/>
        <v>-4.4857526978434925E-2</v>
      </c>
      <c r="M10" s="394">
        <v>5085560</v>
      </c>
      <c r="N10" s="155">
        <f t="shared" si="3"/>
        <v>-4.6964038613476977E-2</v>
      </c>
      <c r="O10" s="393">
        <v>5085560</v>
      </c>
      <c r="P10" s="155">
        <f t="shared" si="3"/>
        <v>0</v>
      </c>
      <c r="Q10" s="132" t="str">
        <f t="shared" si="0"/>
        <v>%</v>
      </c>
      <c r="R10" s="161">
        <f t="shared" si="1"/>
        <v>-3.2604497566774304E-2</v>
      </c>
    </row>
    <row r="11" spans="1:18" ht="15" customHeight="1" x14ac:dyDescent="0.2">
      <c r="A11" s="107" t="s">
        <v>106</v>
      </c>
      <c r="B11" s="108">
        <f>0</f>
        <v>0</v>
      </c>
      <c r="C11" s="108">
        <f>0</f>
        <v>0</v>
      </c>
      <c r="D11" s="155" t="str">
        <f t="shared" si="2"/>
        <v>%</v>
      </c>
      <c r="E11" s="108">
        <f>0</f>
        <v>0</v>
      </c>
      <c r="F11" s="155" t="str">
        <f t="shared" si="3"/>
        <v>%</v>
      </c>
      <c r="G11" s="108">
        <f>0</f>
        <v>0</v>
      </c>
      <c r="H11" s="155" t="str">
        <f t="shared" si="3"/>
        <v>%</v>
      </c>
      <c r="I11" s="108">
        <f>0</f>
        <v>0</v>
      </c>
      <c r="J11" s="155" t="str">
        <f t="shared" si="3"/>
        <v>%</v>
      </c>
      <c r="K11" s="108">
        <f>0</f>
        <v>0</v>
      </c>
      <c r="L11" s="155" t="str">
        <f t="shared" si="3"/>
        <v>%</v>
      </c>
      <c r="M11" s="137">
        <f>0</f>
        <v>0</v>
      </c>
      <c r="N11" s="155" t="str">
        <f t="shared" si="3"/>
        <v>%</v>
      </c>
      <c r="O11" s="108">
        <f>0</f>
        <v>0</v>
      </c>
      <c r="P11" s="155" t="str">
        <f t="shared" si="3"/>
        <v>%</v>
      </c>
      <c r="Q11" s="132" t="str">
        <f t="shared" si="0"/>
        <v>%</v>
      </c>
      <c r="R11" s="161" t="str">
        <f t="shared" si="1"/>
        <v>%</v>
      </c>
    </row>
    <row r="12" spans="1:18" ht="15" customHeight="1" x14ac:dyDescent="0.2">
      <c r="A12" s="107" t="s">
        <v>107</v>
      </c>
      <c r="B12" s="108">
        <f>0</f>
        <v>0</v>
      </c>
      <c r="C12" s="108">
        <f>0</f>
        <v>0</v>
      </c>
      <c r="D12" s="155" t="str">
        <f t="shared" si="2"/>
        <v>%</v>
      </c>
      <c r="E12" s="108">
        <f>0</f>
        <v>0</v>
      </c>
      <c r="F12" s="155" t="str">
        <f t="shared" si="3"/>
        <v>%</v>
      </c>
      <c r="G12" s="108">
        <f>0</f>
        <v>0</v>
      </c>
      <c r="H12" s="155" t="str">
        <f t="shared" si="3"/>
        <v>%</v>
      </c>
      <c r="I12" s="108">
        <f>0</f>
        <v>0</v>
      </c>
      <c r="J12" s="155" t="str">
        <f t="shared" si="3"/>
        <v>%</v>
      </c>
      <c r="K12" s="108">
        <f>0</f>
        <v>0</v>
      </c>
      <c r="L12" s="155" t="str">
        <f t="shared" si="3"/>
        <v>%</v>
      </c>
      <c r="M12" s="137">
        <f>0</f>
        <v>0</v>
      </c>
      <c r="N12" s="155" t="str">
        <f t="shared" si="3"/>
        <v>%</v>
      </c>
      <c r="O12" s="108">
        <f>0</f>
        <v>0</v>
      </c>
      <c r="P12" s="155" t="str">
        <f t="shared" si="3"/>
        <v>%</v>
      </c>
      <c r="Q12" s="132" t="str">
        <f t="shared" si="0"/>
        <v>%</v>
      </c>
      <c r="R12" s="161" t="str">
        <f t="shared" si="1"/>
        <v>%</v>
      </c>
    </row>
    <row r="13" spans="1:18" ht="15" customHeight="1" x14ac:dyDescent="0.2">
      <c r="A13" s="107" t="s">
        <v>108</v>
      </c>
      <c r="B13" s="108">
        <f>0</f>
        <v>0</v>
      </c>
      <c r="C13" s="108">
        <f>0</f>
        <v>0</v>
      </c>
      <c r="D13" s="155" t="str">
        <f t="shared" si="2"/>
        <v>%</v>
      </c>
      <c r="E13" s="108">
        <f>0</f>
        <v>0</v>
      </c>
      <c r="F13" s="155" t="str">
        <f t="shared" si="3"/>
        <v>%</v>
      </c>
      <c r="G13" s="108">
        <f>0</f>
        <v>0</v>
      </c>
      <c r="H13" s="155" t="str">
        <f t="shared" si="3"/>
        <v>%</v>
      </c>
      <c r="I13" s="108">
        <f>0</f>
        <v>0</v>
      </c>
      <c r="J13" s="155" t="str">
        <f t="shared" si="3"/>
        <v>%</v>
      </c>
      <c r="K13" s="108">
        <f>0</f>
        <v>0</v>
      </c>
      <c r="L13" s="155" t="str">
        <f t="shared" si="3"/>
        <v>%</v>
      </c>
      <c r="M13" s="137">
        <f>0</f>
        <v>0</v>
      </c>
      <c r="N13" s="155" t="str">
        <f t="shared" si="3"/>
        <v>%</v>
      </c>
      <c r="O13" s="108">
        <f>0</f>
        <v>0</v>
      </c>
      <c r="P13" s="155" t="str">
        <f t="shared" si="3"/>
        <v>%</v>
      </c>
      <c r="Q13" s="132" t="str">
        <f t="shared" si="0"/>
        <v>%</v>
      </c>
      <c r="R13" s="161" t="str">
        <f t="shared" si="1"/>
        <v>%</v>
      </c>
    </row>
    <row r="14" spans="1:18" ht="15" customHeight="1" x14ac:dyDescent="0.2">
      <c r="A14" s="107" t="s">
        <v>109</v>
      </c>
      <c r="B14" s="108">
        <f>0</f>
        <v>0</v>
      </c>
      <c r="C14" s="108">
        <f>0</f>
        <v>0</v>
      </c>
      <c r="D14" s="155" t="str">
        <f t="shared" si="2"/>
        <v>%</v>
      </c>
      <c r="E14" s="108">
        <f>0</f>
        <v>0</v>
      </c>
      <c r="F14" s="155" t="str">
        <f t="shared" si="3"/>
        <v>%</v>
      </c>
      <c r="G14" s="108">
        <f>0</f>
        <v>0</v>
      </c>
      <c r="H14" s="155" t="str">
        <f t="shared" si="3"/>
        <v>%</v>
      </c>
      <c r="I14" s="108">
        <f>0</f>
        <v>0</v>
      </c>
      <c r="J14" s="155" t="str">
        <f t="shared" si="3"/>
        <v>%</v>
      </c>
      <c r="K14" s="108">
        <f>0</f>
        <v>0</v>
      </c>
      <c r="L14" s="155" t="str">
        <f t="shared" si="3"/>
        <v>%</v>
      </c>
      <c r="M14" s="137">
        <f>0</f>
        <v>0</v>
      </c>
      <c r="N14" s="155" t="str">
        <f t="shared" si="3"/>
        <v>%</v>
      </c>
      <c r="O14" s="108">
        <f>0</f>
        <v>0</v>
      </c>
      <c r="P14" s="155" t="str">
        <f t="shared" si="3"/>
        <v>%</v>
      </c>
      <c r="Q14" s="132" t="str">
        <f t="shared" si="0"/>
        <v>%</v>
      </c>
      <c r="R14" s="161" t="str">
        <f t="shared" si="1"/>
        <v>%</v>
      </c>
    </row>
    <row r="15" spans="1:18" ht="15" customHeight="1" x14ac:dyDescent="0.2">
      <c r="A15" s="107" t="s">
        <v>110</v>
      </c>
      <c r="B15" s="108">
        <f>0</f>
        <v>0</v>
      </c>
      <c r="C15" s="108">
        <f>0</f>
        <v>0</v>
      </c>
      <c r="D15" s="155" t="str">
        <f t="shared" si="2"/>
        <v>%</v>
      </c>
      <c r="E15" s="108">
        <f>0</f>
        <v>0</v>
      </c>
      <c r="F15" s="155" t="str">
        <f t="shared" si="3"/>
        <v>%</v>
      </c>
      <c r="G15" s="108">
        <f>0</f>
        <v>0</v>
      </c>
      <c r="H15" s="155" t="str">
        <f t="shared" si="3"/>
        <v>%</v>
      </c>
      <c r="I15" s="108">
        <f>0</f>
        <v>0</v>
      </c>
      <c r="J15" s="155" t="str">
        <f t="shared" si="3"/>
        <v>%</v>
      </c>
      <c r="K15" s="108">
        <f>0</f>
        <v>0</v>
      </c>
      <c r="L15" s="155" t="str">
        <f t="shared" si="3"/>
        <v>%</v>
      </c>
      <c r="M15" s="137">
        <f>0</f>
        <v>0</v>
      </c>
      <c r="N15" s="155" t="str">
        <f t="shared" si="3"/>
        <v>%</v>
      </c>
      <c r="O15" s="108">
        <f>0</f>
        <v>0</v>
      </c>
      <c r="P15" s="155" t="str">
        <f t="shared" si="3"/>
        <v>%</v>
      </c>
      <c r="Q15" s="132" t="str">
        <f t="shared" si="0"/>
        <v>%</v>
      </c>
      <c r="R15" s="161" t="str">
        <f t="shared" si="1"/>
        <v>%</v>
      </c>
    </row>
    <row r="16" spans="1:18" ht="15" customHeight="1" x14ac:dyDescent="0.2">
      <c r="A16" s="107" t="s">
        <v>111</v>
      </c>
      <c r="B16" s="108">
        <f>0</f>
        <v>0</v>
      </c>
      <c r="C16" s="108">
        <f>0</f>
        <v>0</v>
      </c>
      <c r="D16" s="155" t="str">
        <f t="shared" si="2"/>
        <v>%</v>
      </c>
      <c r="E16" s="108">
        <f>0</f>
        <v>0</v>
      </c>
      <c r="F16" s="155" t="str">
        <f t="shared" si="3"/>
        <v>%</v>
      </c>
      <c r="G16" s="108">
        <f>0</f>
        <v>0</v>
      </c>
      <c r="H16" s="155" t="str">
        <f t="shared" si="3"/>
        <v>%</v>
      </c>
      <c r="I16" s="108">
        <f>0</f>
        <v>0</v>
      </c>
      <c r="J16" s="155" t="str">
        <f t="shared" si="3"/>
        <v>%</v>
      </c>
      <c r="K16" s="108">
        <f>0</f>
        <v>0</v>
      </c>
      <c r="L16" s="155" t="str">
        <f t="shared" si="3"/>
        <v>%</v>
      </c>
      <c r="M16" s="137">
        <f>0</f>
        <v>0</v>
      </c>
      <c r="N16" s="155" t="str">
        <f t="shared" si="3"/>
        <v>%</v>
      </c>
      <c r="O16" s="108">
        <f>0</f>
        <v>0</v>
      </c>
      <c r="P16" s="155" t="str">
        <f t="shared" si="3"/>
        <v>%</v>
      </c>
      <c r="Q16" s="132" t="str">
        <f t="shared" si="0"/>
        <v>%</v>
      </c>
      <c r="R16" s="161" t="str">
        <f t="shared" si="1"/>
        <v>%</v>
      </c>
    </row>
    <row r="17" spans="1:18" ht="15" customHeight="1" x14ac:dyDescent="0.2">
      <c r="A17" s="107" t="s">
        <v>112</v>
      </c>
      <c r="B17" s="108">
        <f>0</f>
        <v>0</v>
      </c>
      <c r="C17" s="108">
        <f>0</f>
        <v>0</v>
      </c>
      <c r="D17" s="155" t="str">
        <f t="shared" si="2"/>
        <v>%</v>
      </c>
      <c r="E17" s="108">
        <f>0</f>
        <v>0</v>
      </c>
      <c r="F17" s="155" t="str">
        <f t="shared" si="3"/>
        <v>%</v>
      </c>
      <c r="G17" s="108">
        <f>0</f>
        <v>0</v>
      </c>
      <c r="H17" s="155" t="str">
        <f t="shared" si="3"/>
        <v>%</v>
      </c>
      <c r="I17" s="108">
        <f>0</f>
        <v>0</v>
      </c>
      <c r="J17" s="155" t="str">
        <f t="shared" si="3"/>
        <v>%</v>
      </c>
      <c r="K17" s="108">
        <f>0</f>
        <v>0</v>
      </c>
      <c r="L17" s="155" t="str">
        <f t="shared" si="3"/>
        <v>%</v>
      </c>
      <c r="M17" s="137">
        <f>0</f>
        <v>0</v>
      </c>
      <c r="N17" s="155" t="str">
        <f t="shared" si="3"/>
        <v>%</v>
      </c>
      <c r="O17" s="108">
        <f>0</f>
        <v>0</v>
      </c>
      <c r="P17" s="155" t="str">
        <f t="shared" si="3"/>
        <v>%</v>
      </c>
      <c r="Q17" s="132">
        <f t="shared" si="0"/>
        <v>0.27628154186441845</v>
      </c>
      <c r="R17" s="161" t="str">
        <f t="shared" si="1"/>
        <v>%</v>
      </c>
    </row>
    <row r="18" spans="1:18" ht="15" customHeight="1" x14ac:dyDescent="0.2">
      <c r="A18" s="107" t="s">
        <v>113</v>
      </c>
      <c r="B18" s="108">
        <f>0</f>
        <v>0</v>
      </c>
      <c r="C18" s="108">
        <f>0</f>
        <v>0</v>
      </c>
      <c r="D18" s="155" t="str">
        <f t="shared" si="2"/>
        <v>%</v>
      </c>
      <c r="E18" s="108">
        <f>0</f>
        <v>0</v>
      </c>
      <c r="F18" s="155" t="str">
        <f t="shared" si="3"/>
        <v>%</v>
      </c>
      <c r="G18" s="108">
        <f>0</f>
        <v>0</v>
      </c>
      <c r="H18" s="155" t="str">
        <f t="shared" si="3"/>
        <v>%</v>
      </c>
      <c r="I18" s="108">
        <f>0</f>
        <v>0</v>
      </c>
      <c r="J18" s="155" t="str">
        <f t="shared" si="3"/>
        <v>%</v>
      </c>
      <c r="K18" s="108">
        <f>0</f>
        <v>0</v>
      </c>
      <c r="L18" s="155" t="str">
        <f t="shared" si="3"/>
        <v>%</v>
      </c>
      <c r="M18" s="137">
        <f>0</f>
        <v>0</v>
      </c>
      <c r="N18" s="155" t="str">
        <f t="shared" si="3"/>
        <v>%</v>
      </c>
      <c r="O18" s="108">
        <f>0</f>
        <v>0</v>
      </c>
      <c r="P18" s="155" t="str">
        <f t="shared" si="3"/>
        <v>%</v>
      </c>
      <c r="Q18" s="132">
        <f t="shared" ref="Q18:Q23" si="4">IF(O26=0,"%",O26/B26-1)</f>
        <v>6.3789648236266094E-2</v>
      </c>
      <c r="R18" s="161" t="str">
        <f t="shared" si="1"/>
        <v>%</v>
      </c>
    </row>
    <row r="19" spans="1:18" ht="15" customHeight="1" x14ac:dyDescent="0.2">
      <c r="A19" s="107" t="s">
        <v>114</v>
      </c>
      <c r="B19" s="108">
        <f>0</f>
        <v>0</v>
      </c>
      <c r="C19" s="108">
        <f>0</f>
        <v>0</v>
      </c>
      <c r="D19" s="155" t="str">
        <f t="shared" si="2"/>
        <v>%</v>
      </c>
      <c r="E19" s="108">
        <f>0</f>
        <v>0</v>
      </c>
      <c r="F19" s="155" t="str">
        <f t="shared" si="3"/>
        <v>%</v>
      </c>
      <c r="G19" s="108">
        <f>0</f>
        <v>0</v>
      </c>
      <c r="H19" s="155" t="str">
        <f t="shared" si="3"/>
        <v>%</v>
      </c>
      <c r="I19" s="108">
        <f>0</f>
        <v>0</v>
      </c>
      <c r="J19" s="155" t="str">
        <f t="shared" si="3"/>
        <v>%</v>
      </c>
      <c r="K19" s="108">
        <f>0</f>
        <v>0</v>
      </c>
      <c r="L19" s="155" t="str">
        <f t="shared" si="3"/>
        <v>%</v>
      </c>
      <c r="M19" s="137">
        <f>0</f>
        <v>0</v>
      </c>
      <c r="N19" s="155" t="str">
        <f t="shared" si="3"/>
        <v>%</v>
      </c>
      <c r="O19" s="108">
        <f>0</f>
        <v>0</v>
      </c>
      <c r="P19" s="155" t="str">
        <f t="shared" si="3"/>
        <v>%</v>
      </c>
      <c r="Q19" s="132" t="str">
        <f t="shared" si="4"/>
        <v>%</v>
      </c>
      <c r="R19" s="161" t="str">
        <f t="shared" si="1"/>
        <v>%</v>
      </c>
    </row>
    <row r="20" spans="1:18" ht="15" customHeight="1" x14ac:dyDescent="0.2">
      <c r="A20" s="107" t="s">
        <v>115</v>
      </c>
      <c r="B20" s="108">
        <f>0</f>
        <v>0</v>
      </c>
      <c r="C20" s="108">
        <f>0</f>
        <v>0</v>
      </c>
      <c r="D20" s="155" t="str">
        <f t="shared" si="2"/>
        <v>%</v>
      </c>
      <c r="E20" s="108">
        <f>0</f>
        <v>0</v>
      </c>
      <c r="F20" s="155" t="str">
        <f t="shared" si="3"/>
        <v>%</v>
      </c>
      <c r="G20" s="108">
        <f>0</f>
        <v>0</v>
      </c>
      <c r="H20" s="155" t="str">
        <f t="shared" si="3"/>
        <v>%</v>
      </c>
      <c r="I20" s="108">
        <f>0</f>
        <v>0</v>
      </c>
      <c r="J20" s="155" t="str">
        <f t="shared" si="3"/>
        <v>%</v>
      </c>
      <c r="K20" s="108">
        <f>0</f>
        <v>0</v>
      </c>
      <c r="L20" s="155" t="str">
        <f t="shared" si="3"/>
        <v>%</v>
      </c>
      <c r="M20" s="137">
        <f>0</f>
        <v>0</v>
      </c>
      <c r="N20" s="155" t="str">
        <f t="shared" si="3"/>
        <v>%</v>
      </c>
      <c r="O20" s="108">
        <f>0</f>
        <v>0</v>
      </c>
      <c r="P20" s="155" t="str">
        <f t="shared" si="3"/>
        <v>%</v>
      </c>
      <c r="Q20" s="132" t="str">
        <f t="shared" si="4"/>
        <v>%</v>
      </c>
      <c r="R20" s="161" t="str">
        <f t="shared" si="1"/>
        <v>%</v>
      </c>
    </row>
    <row r="21" spans="1:18" ht="15" customHeight="1" x14ac:dyDescent="0.2">
      <c r="A21" s="134" t="s">
        <v>116</v>
      </c>
      <c r="B21" s="110">
        <f>SUM(B11,B13,B15,B17,B19)</f>
        <v>0</v>
      </c>
      <c r="C21" s="110">
        <f t="shared" ref="C21:G21" si="5">SUM(C11,C13,C15,C17,C19)</f>
        <v>0</v>
      </c>
      <c r="D21" s="155" t="str">
        <f t="shared" si="2"/>
        <v>%</v>
      </c>
      <c r="E21" s="110">
        <f t="shared" si="5"/>
        <v>0</v>
      </c>
      <c r="F21" s="155" t="str">
        <f t="shared" si="3"/>
        <v>%</v>
      </c>
      <c r="G21" s="110">
        <f t="shared" si="5"/>
        <v>0</v>
      </c>
      <c r="H21" s="155" t="str">
        <f t="shared" si="3"/>
        <v>%</v>
      </c>
      <c r="I21" s="110">
        <f t="shared" ref="I21:O21" si="6">SUM(I11,I13,I15,I17,I19)</f>
        <v>0</v>
      </c>
      <c r="J21" s="155" t="str">
        <f t="shared" si="3"/>
        <v>%</v>
      </c>
      <c r="K21" s="110">
        <f t="shared" si="6"/>
        <v>0</v>
      </c>
      <c r="L21" s="155" t="str">
        <f t="shared" si="3"/>
        <v>%</v>
      </c>
      <c r="M21" s="138">
        <f t="shared" si="6"/>
        <v>0</v>
      </c>
      <c r="N21" s="155" t="str">
        <f t="shared" si="3"/>
        <v>%</v>
      </c>
      <c r="O21" s="110">
        <f t="shared" si="6"/>
        <v>0</v>
      </c>
      <c r="P21" s="155" t="str">
        <f t="shared" si="3"/>
        <v>%</v>
      </c>
      <c r="Q21" s="132" t="str">
        <f t="shared" si="4"/>
        <v>%</v>
      </c>
      <c r="R21" s="161" t="str">
        <f t="shared" si="1"/>
        <v>%</v>
      </c>
    </row>
    <row r="22" spans="1:18" ht="15" customHeight="1" x14ac:dyDescent="0.2">
      <c r="A22" s="134" t="s">
        <v>117</v>
      </c>
      <c r="B22" s="110">
        <f>SUM(B12,B14,B16,B18,B20)</f>
        <v>0</v>
      </c>
      <c r="C22" s="110">
        <f t="shared" ref="C22:G22" si="7">SUM(C12,C14,C16,C18,C20)</f>
        <v>0</v>
      </c>
      <c r="D22" s="155" t="str">
        <f t="shared" si="2"/>
        <v>%</v>
      </c>
      <c r="E22" s="110">
        <f t="shared" si="7"/>
        <v>0</v>
      </c>
      <c r="F22" s="155" t="str">
        <f t="shared" si="3"/>
        <v>%</v>
      </c>
      <c r="G22" s="110">
        <f t="shared" si="7"/>
        <v>0</v>
      </c>
      <c r="H22" s="155" t="str">
        <f t="shared" si="3"/>
        <v>%</v>
      </c>
      <c r="I22" s="110">
        <f t="shared" ref="I22:O22" si="8">SUM(I12,I14,I16,I18,I20)</f>
        <v>0</v>
      </c>
      <c r="J22" s="155" t="str">
        <f t="shared" si="3"/>
        <v>%</v>
      </c>
      <c r="K22" s="110">
        <f t="shared" si="8"/>
        <v>0</v>
      </c>
      <c r="L22" s="155" t="str">
        <f t="shared" si="3"/>
        <v>%</v>
      </c>
      <c r="M22" s="138">
        <f t="shared" si="8"/>
        <v>0</v>
      </c>
      <c r="N22" s="155" t="str">
        <f t="shared" si="3"/>
        <v>%</v>
      </c>
      <c r="O22" s="110">
        <f t="shared" si="8"/>
        <v>0</v>
      </c>
      <c r="P22" s="155" t="str">
        <f t="shared" si="3"/>
        <v>%</v>
      </c>
      <c r="Q22" s="132" t="str">
        <f t="shared" si="4"/>
        <v>%</v>
      </c>
      <c r="R22" s="161" t="str">
        <f t="shared" si="1"/>
        <v>%</v>
      </c>
    </row>
    <row r="23" spans="1:18" ht="15" customHeight="1" x14ac:dyDescent="0.2">
      <c r="A23" s="109" t="s">
        <v>118</v>
      </c>
      <c r="B23" s="393">
        <v>19767419</v>
      </c>
      <c r="C23" s="393">
        <v>20755790</v>
      </c>
      <c r="D23" s="155">
        <f t="shared" si="2"/>
        <v>5.0000002529414722E-2</v>
      </c>
      <c r="E23" s="393">
        <v>21793579</v>
      </c>
      <c r="F23" s="155">
        <f t="shared" si="3"/>
        <v>4.9999975910336447E-2</v>
      </c>
      <c r="G23" s="393">
        <v>22883258</v>
      </c>
      <c r="H23" s="155">
        <f t="shared" si="3"/>
        <v>5.000000229425372E-2</v>
      </c>
      <c r="I23" s="393">
        <v>24027421</v>
      </c>
      <c r="J23" s="155">
        <f t="shared" si="3"/>
        <v>5.0000004370007067E-2</v>
      </c>
      <c r="K23" s="393">
        <v>23808253</v>
      </c>
      <c r="L23" s="155">
        <f t="shared" si="3"/>
        <v>-9.1215782168214687E-3</v>
      </c>
      <c r="M23" s="393">
        <v>25228792</v>
      </c>
      <c r="N23" s="155">
        <f t="shared" si="3"/>
        <v>5.9665822603615748E-2</v>
      </c>
      <c r="O23" s="393">
        <v>25228792</v>
      </c>
      <c r="P23" s="155">
        <f t="shared" si="3"/>
        <v>0</v>
      </c>
      <c r="Q23" s="132" t="str">
        <f t="shared" si="4"/>
        <v>%</v>
      </c>
      <c r="R23" s="161">
        <f t="shared" si="1"/>
        <v>3.5464496524316269E-2</v>
      </c>
    </row>
    <row r="24" spans="1:18" ht="15" customHeight="1" x14ac:dyDescent="0.2">
      <c r="A24" s="135" t="s">
        <v>119</v>
      </c>
      <c r="B24" s="110">
        <f>SUM(B7:B20,B23)</f>
        <v>155788918</v>
      </c>
      <c r="C24" s="110">
        <f>SUM(C7:C20,C23)</f>
        <v>161934061</v>
      </c>
      <c r="D24" s="155">
        <f t="shared" ref="D24" si="9">IF(B24=0,"%",C24/B24-1)</f>
        <v>3.9445315359337707E-2</v>
      </c>
      <c r="E24" s="110">
        <f>SUM(E7:E20,E23)</f>
        <v>168502058</v>
      </c>
      <c r="F24" s="155">
        <f t="shared" ref="F24" si="10">IF(C24=0,"%",E24/C24-1)</f>
        <v>4.0559700407933219E-2</v>
      </c>
      <c r="G24" s="110">
        <f>SUM(G7:G20,G23)</f>
        <v>175440414</v>
      </c>
      <c r="H24" s="155">
        <f t="shared" ref="H24" si="11">IF(E24=0,"%",G24/E24-1)</f>
        <v>4.1176684026019483E-2</v>
      </c>
      <c r="I24" s="110">
        <f>SUM(I7:I20,I23)</f>
        <v>174043115</v>
      </c>
      <c r="J24" s="155">
        <f t="shared" ref="J24" si="12">IF(G24=0,"%",I24/G24-1)</f>
        <v>-7.9645217891471942E-3</v>
      </c>
      <c r="K24" s="110">
        <f>SUM(K7:K20,K23)</f>
        <v>171255937</v>
      </c>
      <c r="L24" s="155">
        <f t="shared" ref="L24" si="13">IF(I24=0,"%",K24/I24-1)</f>
        <v>-1.6014296227690461E-2</v>
      </c>
      <c r="M24" s="110">
        <f>SUM(M7:M20,M23)</f>
        <v>170295571</v>
      </c>
      <c r="N24" s="155">
        <f t="shared" ref="N24" si="14">IF(K24=0,"%",M24/K24-1)</f>
        <v>-5.6077822283031598E-3</v>
      </c>
      <c r="O24" s="110">
        <f>SUM(O7:O20,O23)</f>
        <v>170295571</v>
      </c>
      <c r="P24" s="155">
        <f t="shared" ref="P24" si="15">IF(M24=0,"%",O24/M24-1)</f>
        <v>0</v>
      </c>
      <c r="Q24" s="132" t="str">
        <f t="shared" ref="Q24" si="16">IF(O30=0,"%",O30/B30-1)</f>
        <v>%</v>
      </c>
      <c r="R24" s="161">
        <f t="shared" ref="R24" si="17">IF(B24=0,"%",(O24/B24)^(1/7)-1)</f>
        <v>1.2800314282918057E-2</v>
      </c>
    </row>
    <row r="25" spans="1:18" ht="15" customHeight="1" x14ac:dyDescent="0.2">
      <c r="A25" s="162" t="s">
        <v>120</v>
      </c>
      <c r="B25" s="163">
        <v>178801060</v>
      </c>
      <c r="C25" s="163">
        <v>185637784</v>
      </c>
      <c r="D25" s="155">
        <f t="shared" ref="D25" si="18">IF(B25=0,"%",C25/B25-1)</f>
        <v>3.8236484727775188E-2</v>
      </c>
      <c r="E25" s="110">
        <f>C25</f>
        <v>185637784</v>
      </c>
      <c r="F25" s="155">
        <f t="shared" ref="F25" si="19">IF(C25=0,"%",E25/C25-1)</f>
        <v>0</v>
      </c>
      <c r="G25" s="110">
        <f>E25</f>
        <v>185637784</v>
      </c>
      <c r="H25" s="155">
        <f t="shared" ref="H25" si="20">IF(E25=0,"%",G25/E25-1)</f>
        <v>0</v>
      </c>
      <c r="I25" s="110">
        <f>G25</f>
        <v>185637784</v>
      </c>
      <c r="J25" s="155">
        <f t="shared" ref="J25" si="21">IF(G25=0,"%",I25/G25-1)</f>
        <v>0</v>
      </c>
      <c r="K25" s="110">
        <f>I25</f>
        <v>185637784</v>
      </c>
      <c r="L25" s="155">
        <f t="shared" ref="L25" si="22">IF(I25=0,"%",K25/I25-1)</f>
        <v>0</v>
      </c>
      <c r="M25" s="110">
        <f>K25</f>
        <v>185637784</v>
      </c>
      <c r="N25" s="155">
        <f t="shared" ref="N25" si="23">IF(K25=0,"%",M25/K25-1)</f>
        <v>0</v>
      </c>
      <c r="O25" s="110">
        <f>M25</f>
        <v>185637784</v>
      </c>
      <c r="P25" s="155">
        <f t="shared" ref="P25" si="24">IF(M25=0,"%",O25/M25-1)</f>
        <v>0</v>
      </c>
      <c r="Q25" s="132" t="str">
        <f t="shared" ref="Q25" si="25">IF(O32=0,"%",O32/B32-1)</f>
        <v>%</v>
      </c>
      <c r="R25" s="161">
        <f t="shared" ref="R25" si="26">IF(B25=0,"%",(O25/B25)^(1/7)-1)</f>
        <v>5.3749055509197952E-3</v>
      </c>
    </row>
    <row r="26" spans="1:18" ht="15" customHeight="1" x14ac:dyDescent="0.2">
      <c r="A26" s="135" t="s">
        <v>121</v>
      </c>
      <c r="B26" s="110">
        <f>B25+B24</f>
        <v>334589978</v>
      </c>
      <c r="C26" s="110">
        <f>C25+C24</f>
        <v>347571845</v>
      </c>
      <c r="D26" s="155">
        <f t="shared" si="2"/>
        <v>3.8799330086330297E-2</v>
      </c>
      <c r="E26" s="110">
        <f>E25+E24</f>
        <v>354139842</v>
      </c>
      <c r="F26" s="155">
        <f t="shared" si="3"/>
        <v>1.8896803911145232E-2</v>
      </c>
      <c r="G26" s="110">
        <f>G25+G24</f>
        <v>361078198</v>
      </c>
      <c r="H26" s="155">
        <f t="shared" si="3"/>
        <v>1.9592136148295802E-2</v>
      </c>
      <c r="I26" s="110">
        <f>I25+I24</f>
        <v>359680899</v>
      </c>
      <c r="J26" s="155">
        <f t="shared" si="3"/>
        <v>-3.8697960933105069E-3</v>
      </c>
      <c r="K26" s="110">
        <f>K25+K24</f>
        <v>356893721</v>
      </c>
      <c r="L26" s="155">
        <f t="shared" si="3"/>
        <v>-7.7490297865386859E-3</v>
      </c>
      <c r="M26" s="110">
        <f>M25+M24</f>
        <v>355933355</v>
      </c>
      <c r="N26" s="155">
        <f t="shared" si="3"/>
        <v>-2.6909019225922481E-3</v>
      </c>
      <c r="O26" s="110">
        <f>O25+O24</f>
        <v>355933355</v>
      </c>
      <c r="P26" s="155">
        <f t="shared" si="3"/>
        <v>0</v>
      </c>
      <c r="Q26" s="132" t="str">
        <f t="shared" si="0"/>
        <v>%</v>
      </c>
      <c r="R26" s="161">
        <f t="shared" si="1"/>
        <v>8.8730877097413785E-3</v>
      </c>
    </row>
    <row r="27" spans="1:18" ht="15" customHeight="1" x14ac:dyDescent="0.2">
      <c r="A27" s="94"/>
      <c r="B27" s="56"/>
      <c r="C27" s="56"/>
      <c r="D27" s="156"/>
      <c r="E27" s="56"/>
      <c r="F27" s="156"/>
      <c r="G27" s="56"/>
      <c r="H27" s="156"/>
      <c r="J27" s="156"/>
      <c r="L27" s="156"/>
      <c r="N27" s="156"/>
      <c r="P27" s="156"/>
    </row>
    <row r="28" spans="1:18" ht="15" customHeight="1" x14ac:dyDescent="0.2">
      <c r="A28" s="94"/>
      <c r="B28" s="56"/>
      <c r="C28" s="56"/>
      <c r="D28" s="156"/>
      <c r="E28" s="56"/>
      <c r="F28" s="156"/>
      <c r="G28" s="56"/>
      <c r="H28" s="156"/>
      <c r="J28" s="156"/>
      <c r="L28" s="156"/>
      <c r="N28" s="156"/>
      <c r="P28" s="156"/>
    </row>
    <row r="29" spans="1:18" ht="15" customHeight="1" x14ac:dyDescent="0.2">
      <c r="A29" s="82"/>
      <c r="B29" s="104" t="s">
        <v>89</v>
      </c>
      <c r="C29" s="104" t="s">
        <v>90</v>
      </c>
      <c r="D29" s="154"/>
      <c r="E29" s="104" t="s">
        <v>91</v>
      </c>
      <c r="F29" s="154"/>
      <c r="G29" s="104" t="s">
        <v>92</v>
      </c>
      <c r="H29" s="154"/>
      <c r="J29"/>
      <c r="L29"/>
      <c r="N29"/>
      <c r="P29"/>
    </row>
    <row r="30" spans="1:18" ht="15" customHeight="1" x14ac:dyDescent="0.2">
      <c r="A30" s="95" t="s">
        <v>122</v>
      </c>
      <c r="B30" s="96" t="s">
        <v>123</v>
      </c>
      <c r="C30" s="96" t="s">
        <v>123</v>
      </c>
      <c r="D30" s="159" t="s">
        <v>369</v>
      </c>
      <c r="E30" s="96" t="s">
        <v>123</v>
      </c>
      <c r="F30" s="159" t="s">
        <v>369</v>
      </c>
      <c r="G30" s="96" t="s">
        <v>123</v>
      </c>
      <c r="H30" s="159" t="s">
        <v>369</v>
      </c>
      <c r="J30"/>
      <c r="L30"/>
      <c r="N30"/>
      <c r="P30"/>
    </row>
    <row r="31" spans="1:18" ht="15" customHeight="1" x14ac:dyDescent="0.2">
      <c r="A31" s="109" t="s">
        <v>124</v>
      </c>
      <c r="B31" s="393">
        <v>55725609</v>
      </c>
      <c r="C31" s="393">
        <v>57521370</v>
      </c>
      <c r="D31" s="155">
        <f>IF(B31=0,"%",C31/B31-1)</f>
        <v>3.2225058321031508E-2</v>
      </c>
      <c r="E31" s="393">
        <v>59932395</v>
      </c>
      <c r="F31" s="155">
        <f>IF(C31=0,"%",E31/C31-1)</f>
        <v>4.1915291655953313E-2</v>
      </c>
      <c r="G31" s="393">
        <v>62188699</v>
      </c>
      <c r="H31" s="155">
        <f>IF(E31=0,"%",G31/E31-1)</f>
        <v>3.764748597148504E-2</v>
      </c>
      <c r="J31"/>
      <c r="L31"/>
      <c r="N31"/>
      <c r="P31"/>
    </row>
    <row r="32" spans="1:18" ht="15" customHeight="1" x14ac:dyDescent="0.2">
      <c r="A32" s="109" t="s">
        <v>125</v>
      </c>
      <c r="B32" s="393">
        <v>10979134</v>
      </c>
      <c r="C32" s="393">
        <v>11165199</v>
      </c>
      <c r="D32" s="155">
        <f t="shared" ref="D32:D34" si="27">IF(B32=0,"%",C32/B32-1)</f>
        <v>1.6947147197584167E-2</v>
      </c>
      <c r="E32" s="393">
        <v>11780299</v>
      </c>
      <c r="F32" s="155">
        <f t="shared" ref="F32:H34" si="28">IF(C32=0,"%",E32/C32-1)</f>
        <v>5.5090822832624786E-2</v>
      </c>
      <c r="G32" s="393">
        <v>12429285</v>
      </c>
      <c r="H32" s="155">
        <f t="shared" si="28"/>
        <v>5.5090791838135811E-2</v>
      </c>
      <c r="J32"/>
      <c r="L32"/>
      <c r="N32"/>
      <c r="P32"/>
    </row>
    <row r="33" spans="1:16" ht="15" customHeight="1" x14ac:dyDescent="0.2">
      <c r="A33" s="134" t="s">
        <v>126</v>
      </c>
      <c r="B33" s="110">
        <f>B32+B31</f>
        <v>66704743</v>
      </c>
      <c r="C33" s="110">
        <f>C32+C31</f>
        <v>68686569</v>
      </c>
      <c r="D33" s="155">
        <f t="shared" si="27"/>
        <v>2.9710421041574175E-2</v>
      </c>
      <c r="E33" s="110">
        <f t="shared" ref="E33:G33" si="29">E32+E31</f>
        <v>71712694</v>
      </c>
      <c r="F33" s="155">
        <f t="shared" si="28"/>
        <v>4.4057012077572288E-2</v>
      </c>
      <c r="G33" s="110">
        <f t="shared" si="29"/>
        <v>74617984</v>
      </c>
      <c r="H33" s="155">
        <f t="shared" si="28"/>
        <v>4.0512911145131447E-2</v>
      </c>
      <c r="J33"/>
      <c r="L33"/>
      <c r="N33"/>
      <c r="P33"/>
    </row>
    <row r="34" spans="1:16" ht="15" customHeight="1" x14ac:dyDescent="0.2">
      <c r="A34" s="111" t="s">
        <v>127</v>
      </c>
      <c r="B34" s="108">
        <v>140288472</v>
      </c>
      <c r="C34" s="108">
        <v>124057472</v>
      </c>
      <c r="D34" s="155">
        <f t="shared" si="27"/>
        <v>-0.1156973183085207</v>
      </c>
      <c r="E34" s="108">
        <v>130217140</v>
      </c>
      <c r="F34" s="155">
        <f t="shared" si="28"/>
        <v>4.9651729159852609E-2</v>
      </c>
      <c r="G34" s="108">
        <v>136705436</v>
      </c>
      <c r="H34" s="155">
        <f t="shared" si="28"/>
        <v>4.9826743238255755E-2</v>
      </c>
      <c r="J34"/>
      <c r="L34"/>
      <c r="N34"/>
      <c r="P34"/>
    </row>
    <row r="35" spans="1:16" ht="15" customHeight="1" x14ac:dyDescent="0.2">
      <c r="A35" s="97"/>
      <c r="B35" s="56"/>
      <c r="C35" s="56"/>
      <c r="D35" s="157"/>
      <c r="E35" s="56"/>
      <c r="F35" s="157"/>
      <c r="G35" s="56"/>
      <c r="H35" s="157"/>
      <c r="J35" s="157"/>
      <c r="L35" s="157"/>
      <c r="N35" s="157"/>
      <c r="P35" s="157"/>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11:G20 E12: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81" zoomScaleNormal="100" workbookViewId="0">
      <selection activeCell="G116" sqref="G116"/>
    </sheetView>
  </sheetViews>
  <sheetFormatPr defaultColWidth="9.140625" defaultRowHeight="12.75" x14ac:dyDescent="0.2"/>
  <cols>
    <col min="1" max="1" width="31.140625" style="8" customWidth="1"/>
    <col min="2" max="5" width="17.5703125" style="8" customWidth="1"/>
    <col min="6" max="8" width="15.5703125" style="8" customWidth="1"/>
    <col min="9" max="9" width="15.5703125" style="143" customWidth="1"/>
    <col min="10" max="16384" width="9.140625" style="8"/>
  </cols>
  <sheetData>
    <row r="1" spans="1:11" ht="20.100000000000001" customHeight="1" x14ac:dyDescent="0.2">
      <c r="A1" s="57" t="s">
        <v>128</v>
      </c>
      <c r="B1" s="57"/>
      <c r="C1" s="57"/>
      <c r="D1" s="57"/>
      <c r="E1" s="57"/>
    </row>
    <row r="2" spans="1:11" ht="20.100000000000001" customHeight="1" x14ac:dyDescent="0.2">
      <c r="A2" s="445" t="str">
        <f>'Institution ID'!C3</f>
        <v>Old Dominion University</v>
      </c>
      <c r="B2" s="445"/>
      <c r="C2" s="445"/>
      <c r="D2" s="445"/>
      <c r="E2" s="445"/>
    </row>
    <row r="3" spans="1:11" s="7" customFormat="1" ht="70.5" customHeight="1" x14ac:dyDescent="0.2">
      <c r="A3" s="456" t="s">
        <v>129</v>
      </c>
      <c r="B3" s="457"/>
      <c r="C3" s="457"/>
      <c r="D3" s="457"/>
      <c r="E3" s="457"/>
      <c r="F3" s="457"/>
      <c r="G3" s="457"/>
      <c r="H3" s="457"/>
      <c r="I3" s="144"/>
    </row>
    <row r="4" spans="1:11" s="7" customFormat="1" ht="41.45" customHeight="1" x14ac:dyDescent="0.2">
      <c r="A4" s="456" t="s">
        <v>130</v>
      </c>
      <c r="B4" s="457"/>
      <c r="C4" s="457"/>
      <c r="D4" s="457"/>
      <c r="E4" s="457"/>
      <c r="F4" s="457"/>
      <c r="G4" s="457"/>
      <c r="H4" s="457"/>
      <c r="I4" s="144"/>
    </row>
    <row r="5" spans="1:11" s="10" customFormat="1" ht="38.1" customHeight="1" x14ac:dyDescent="0.2">
      <c r="A5" s="458" t="s">
        <v>131</v>
      </c>
      <c r="B5" s="459"/>
      <c r="C5" s="459"/>
      <c r="D5" s="459"/>
      <c r="E5" s="459"/>
      <c r="F5" s="459"/>
      <c r="G5" s="459"/>
      <c r="H5" s="459"/>
      <c r="I5" s="145"/>
    </row>
    <row r="6" spans="1:11" s="10" customFormat="1" ht="20.100000000000001" customHeight="1" x14ac:dyDescent="0.3">
      <c r="A6" s="460" t="s">
        <v>132</v>
      </c>
      <c r="B6" s="461"/>
      <c r="C6" s="461"/>
      <c r="D6" s="461"/>
      <c r="E6" s="461"/>
      <c r="F6" s="461"/>
      <c r="G6" s="382"/>
      <c r="H6" s="382"/>
      <c r="I6" s="146"/>
    </row>
    <row r="7" spans="1:11" s="10" customFormat="1" ht="15" customHeight="1" x14ac:dyDescent="0.2">
      <c r="A7" s="455" t="s">
        <v>133</v>
      </c>
      <c r="B7" s="455"/>
      <c r="C7" s="455"/>
      <c r="D7" s="455"/>
      <c r="E7" s="455"/>
      <c r="F7" s="455"/>
      <c r="G7" s="455"/>
      <c r="H7" s="455"/>
      <c r="I7" s="147"/>
    </row>
    <row r="8" spans="1:11" s="10" customFormat="1" ht="15" customHeight="1" x14ac:dyDescent="0.2">
      <c r="A8" s="469" t="s">
        <v>134</v>
      </c>
      <c r="B8" s="465" t="s">
        <v>135</v>
      </c>
      <c r="C8" s="465" t="s">
        <v>136</v>
      </c>
      <c r="D8" s="471" t="s">
        <v>137</v>
      </c>
      <c r="E8" s="465" t="s">
        <v>138</v>
      </c>
      <c r="F8" s="465" t="s">
        <v>139</v>
      </c>
      <c r="G8" s="451" t="s">
        <v>140</v>
      </c>
      <c r="H8" s="452" t="s">
        <v>141</v>
      </c>
      <c r="I8" s="462" t="s">
        <v>142</v>
      </c>
    </row>
    <row r="9" spans="1:11" s="10" customFormat="1" ht="16.350000000000001" customHeight="1" thickBot="1" x14ac:dyDescent="0.25">
      <c r="A9" s="469"/>
      <c r="B9" s="466"/>
      <c r="C9" s="466"/>
      <c r="D9" s="471"/>
      <c r="E9" s="466"/>
      <c r="F9" s="466"/>
      <c r="G9" s="452"/>
      <c r="H9" s="452"/>
      <c r="I9" s="463"/>
    </row>
    <row r="10" spans="1:11" s="10" customFormat="1" ht="16.350000000000001" customHeight="1" x14ac:dyDescent="0.2">
      <c r="A10" s="469"/>
      <c r="B10" s="467"/>
      <c r="C10" s="467"/>
      <c r="D10" s="471"/>
      <c r="E10" s="467"/>
      <c r="F10" s="467"/>
      <c r="G10" s="453"/>
      <c r="H10" s="453"/>
      <c r="I10" s="463"/>
      <c r="J10" s="446" t="s">
        <v>143</v>
      </c>
      <c r="K10" s="447"/>
    </row>
    <row r="11" spans="1:11" s="10" customFormat="1" ht="16.350000000000001" customHeight="1" thickBot="1" x14ac:dyDescent="0.25">
      <c r="A11" s="470"/>
      <c r="B11" s="468"/>
      <c r="C11" s="468"/>
      <c r="D11" s="472"/>
      <c r="E11" s="468"/>
      <c r="F11" s="468"/>
      <c r="G11" s="454"/>
      <c r="H11" s="454"/>
      <c r="I11" s="464"/>
      <c r="J11" s="448" t="s">
        <v>144</v>
      </c>
      <c r="K11" s="449"/>
    </row>
    <row r="12" spans="1:11" s="10" customFormat="1" ht="16.350000000000001" customHeight="1" x14ac:dyDescent="0.2">
      <c r="A12" s="32" t="s">
        <v>102</v>
      </c>
      <c r="B12" s="37">
        <f>+'2-Revenue'!B7</f>
        <v>90787202</v>
      </c>
      <c r="C12" s="395">
        <v>5901168</v>
      </c>
      <c r="D12" s="83">
        <f t="shared" ref="D12:D18" si="0">IF(C12=0,"%",C12/B12)</f>
        <v>6.4999998568080114E-2</v>
      </c>
      <c r="E12" s="395">
        <v>5901168</v>
      </c>
      <c r="F12" s="395">
        <v>153866</v>
      </c>
      <c r="G12" s="395">
        <v>16990376</v>
      </c>
      <c r="H12" s="139">
        <f>B12+F12+G12</f>
        <v>107931444</v>
      </c>
      <c r="I12" s="148">
        <f>IF(H12=0,"%",(F12+G12)/H12)</f>
        <v>0.1588438120034788</v>
      </c>
      <c r="J12" s="84">
        <f>(C12+C14+C16)-(E12+E14+E16)</f>
        <v>0</v>
      </c>
      <c r="K12" s="85" t="str">
        <f>IF(J12&gt;0,"WARNING: IS subsidizing OS","Compliant")</f>
        <v>Compliant</v>
      </c>
    </row>
    <row r="13" spans="1:11" s="10" customFormat="1" ht="15" customHeight="1" x14ac:dyDescent="0.2">
      <c r="A13" s="34" t="s">
        <v>103</v>
      </c>
      <c r="B13" s="38">
        <f>+'2-Revenue'!B8</f>
        <v>18372341</v>
      </c>
      <c r="C13" s="395">
        <v>1139085</v>
      </c>
      <c r="D13" s="83">
        <f t="shared" si="0"/>
        <v>6.1999992270990401E-2</v>
      </c>
      <c r="E13" s="395">
        <v>1139085</v>
      </c>
      <c r="F13" s="395">
        <v>226054</v>
      </c>
      <c r="G13" s="395">
        <v>566238</v>
      </c>
      <c r="H13" s="140">
        <f t="shared" ref="H13:H17" si="1">B13+F13+G13</f>
        <v>19164633</v>
      </c>
      <c r="I13" s="148">
        <f t="shared" ref="I13:I18" si="2">IF(H13=0,"%",(F13+G13)/H13)</f>
        <v>4.1341360411128146E-2</v>
      </c>
    </row>
    <row r="14" spans="1:11" s="10" customFormat="1" ht="15" customHeight="1" x14ac:dyDescent="0.2">
      <c r="A14" s="34" t="s">
        <v>104</v>
      </c>
      <c r="B14" s="38">
        <f>+'2-Revenue'!B9</f>
        <v>20448231</v>
      </c>
      <c r="C14" s="395">
        <v>858176</v>
      </c>
      <c r="D14" s="83">
        <f t="shared" si="0"/>
        <v>4.1968226982568808E-2</v>
      </c>
      <c r="E14" s="395">
        <v>858176</v>
      </c>
      <c r="F14" s="395">
        <v>1724143</v>
      </c>
      <c r="G14" s="395">
        <v>1851975</v>
      </c>
      <c r="H14" s="140">
        <f t="shared" si="1"/>
        <v>24024349</v>
      </c>
      <c r="I14" s="148">
        <f t="shared" si="2"/>
        <v>0.14885389818471251</v>
      </c>
    </row>
    <row r="15" spans="1:11" s="10" customFormat="1" ht="15" customHeight="1" x14ac:dyDescent="0.2">
      <c r="A15" s="34" t="s">
        <v>105</v>
      </c>
      <c r="B15" s="38">
        <f>+'2-Revenue'!B10</f>
        <v>6413725</v>
      </c>
      <c r="C15" s="395">
        <v>429088</v>
      </c>
      <c r="D15" s="83">
        <f t="shared" si="0"/>
        <v>6.6901527583424603E-2</v>
      </c>
      <c r="E15" s="395">
        <v>429088</v>
      </c>
      <c r="F15" s="395">
        <v>6194087</v>
      </c>
      <c r="G15" s="395">
        <v>25951</v>
      </c>
      <c r="H15" s="140">
        <f t="shared" si="1"/>
        <v>12633763</v>
      </c>
      <c r="I15" s="148">
        <f>IF(H15=0,"%",(F15+G15)/H15)</f>
        <v>0.49233454830520407</v>
      </c>
    </row>
    <row r="16" spans="1:11" s="10" customFormat="1" ht="15" customHeight="1" x14ac:dyDescent="0.2">
      <c r="A16" s="34" t="s">
        <v>145</v>
      </c>
      <c r="B16" s="38">
        <f>+SUM('2-Revenue'!B11+'2-Revenue'!B13+'2-Revenue'!B15+'2-Revenue'!B17+'2-Revenue'!B19)</f>
        <v>0</v>
      </c>
      <c r="C16" s="33">
        <v>0</v>
      </c>
      <c r="D16" s="83" t="str">
        <f t="shared" si="0"/>
        <v>%</v>
      </c>
      <c r="E16" s="33">
        <v>0</v>
      </c>
      <c r="F16" s="33">
        <f>0</f>
        <v>0</v>
      </c>
      <c r="G16" s="89">
        <f>0</f>
        <v>0</v>
      </c>
      <c r="H16" s="140">
        <f t="shared" si="1"/>
        <v>0</v>
      </c>
      <c r="I16" s="148" t="str">
        <f t="shared" si="2"/>
        <v>%</v>
      </c>
    </row>
    <row r="17" spans="1:11" s="10" customFormat="1" ht="15" customHeight="1" thickBot="1" x14ac:dyDescent="0.25">
      <c r="A17" s="35" t="s">
        <v>146</v>
      </c>
      <c r="B17" s="38">
        <f>+SUM('2-Revenue'!B12+'2-Revenue'!B14+'2-Revenue'!B16+'2-Revenue'!B18+'2-Revenue'!B20)</f>
        <v>0</v>
      </c>
      <c r="C17" s="33">
        <f>0</f>
        <v>0</v>
      </c>
      <c r="D17" s="86" t="str">
        <f t="shared" si="0"/>
        <v>%</v>
      </c>
      <c r="E17" s="33">
        <f>0</f>
        <v>0</v>
      </c>
      <c r="F17" s="33">
        <f>0</f>
        <v>0</v>
      </c>
      <c r="G17" s="89">
        <f>0</f>
        <v>0</v>
      </c>
      <c r="H17" s="141">
        <f t="shared" si="1"/>
        <v>0</v>
      </c>
      <c r="I17" s="148" t="str">
        <f t="shared" si="2"/>
        <v>%</v>
      </c>
    </row>
    <row r="18" spans="1:11" s="10" customFormat="1" ht="15" customHeight="1" thickBot="1" x14ac:dyDescent="0.25">
      <c r="A18" s="36" t="s">
        <v>147</v>
      </c>
      <c r="B18" s="39">
        <f>SUM(B12:B17)</f>
        <v>136021499</v>
      </c>
      <c r="C18" s="39">
        <f t="shared" ref="C18:G18" si="3">SUM(C12:C17)</f>
        <v>8327517</v>
      </c>
      <c r="D18" s="87">
        <f t="shared" si="0"/>
        <v>6.1222064609065957E-2</v>
      </c>
      <c r="E18" s="39">
        <f t="shared" si="3"/>
        <v>8327517</v>
      </c>
      <c r="F18" s="39">
        <f t="shared" si="3"/>
        <v>8298150</v>
      </c>
      <c r="G18" s="39">
        <f t="shared" si="3"/>
        <v>19434540</v>
      </c>
      <c r="H18" s="142">
        <f t="shared" ref="H18" si="4">SUM(H12:H17)</f>
        <v>163754189</v>
      </c>
      <c r="I18" s="149">
        <f t="shared" si="2"/>
        <v>0.16935560653046866</v>
      </c>
    </row>
    <row r="19" spans="1:11" s="10" customFormat="1" ht="15" customHeight="1" x14ac:dyDescent="0.2">
      <c r="A19" s="450"/>
      <c r="B19" s="450"/>
      <c r="C19" s="450"/>
      <c r="D19" s="450"/>
      <c r="E19" s="450"/>
      <c r="I19" s="150"/>
    </row>
    <row r="20" spans="1:11" s="10" customFormat="1" ht="15" customHeight="1" x14ac:dyDescent="0.2">
      <c r="A20" s="455" t="s">
        <v>148</v>
      </c>
      <c r="B20" s="455"/>
      <c r="C20" s="455"/>
      <c r="D20" s="455"/>
      <c r="E20" s="455"/>
      <c r="F20" s="455"/>
      <c r="G20" s="455"/>
      <c r="H20" s="455"/>
      <c r="I20" s="147"/>
    </row>
    <row r="21" spans="1:11" ht="15" customHeight="1" x14ac:dyDescent="0.2">
      <c r="A21" s="469" t="s">
        <v>134</v>
      </c>
      <c r="B21" s="465" t="s">
        <v>135</v>
      </c>
      <c r="C21" s="465" t="s">
        <v>136</v>
      </c>
      <c r="D21" s="471" t="s">
        <v>137</v>
      </c>
      <c r="E21" s="465" t="s">
        <v>138</v>
      </c>
      <c r="F21" s="465" t="s">
        <v>139</v>
      </c>
      <c r="G21" s="465" t="s">
        <v>140</v>
      </c>
      <c r="H21" s="466" t="s">
        <v>141</v>
      </c>
      <c r="I21" s="462" t="s">
        <v>142</v>
      </c>
    </row>
    <row r="22" spans="1:11" s="10" customFormat="1" ht="15" customHeight="1" thickBot="1" x14ac:dyDescent="0.25">
      <c r="A22" s="469"/>
      <c r="B22" s="466"/>
      <c r="C22" s="466"/>
      <c r="D22" s="471"/>
      <c r="E22" s="466"/>
      <c r="F22" s="466"/>
      <c r="G22" s="466"/>
      <c r="H22" s="466"/>
      <c r="I22" s="463"/>
    </row>
    <row r="23" spans="1:11" s="10" customFormat="1" ht="16.350000000000001" customHeight="1" x14ac:dyDescent="0.2">
      <c r="A23" s="469"/>
      <c r="B23" s="467"/>
      <c r="C23" s="467"/>
      <c r="D23" s="471"/>
      <c r="E23" s="467"/>
      <c r="F23" s="467"/>
      <c r="G23" s="467"/>
      <c r="H23" s="467"/>
      <c r="I23" s="463"/>
      <c r="J23" s="473" t="s">
        <v>143</v>
      </c>
      <c r="K23" s="447"/>
    </row>
    <row r="24" spans="1:11" s="10" customFormat="1" ht="16.350000000000001" customHeight="1" thickBot="1" x14ac:dyDescent="0.25">
      <c r="A24" s="470"/>
      <c r="B24" s="468"/>
      <c r="C24" s="468"/>
      <c r="D24" s="472"/>
      <c r="E24" s="468"/>
      <c r="F24" s="468"/>
      <c r="G24" s="468"/>
      <c r="H24" s="468"/>
      <c r="I24" s="464"/>
      <c r="J24" s="474" t="s">
        <v>144</v>
      </c>
      <c r="K24" s="449"/>
    </row>
    <row r="25" spans="1:11" s="10" customFormat="1" ht="16.350000000000001" customHeight="1" x14ac:dyDescent="0.2">
      <c r="A25" s="32" t="s">
        <v>102</v>
      </c>
      <c r="B25" s="37">
        <f>+'2-Revenue'!C7</f>
        <v>95506123</v>
      </c>
      <c r="C25" s="395">
        <v>2714818</v>
      </c>
      <c r="D25" s="83">
        <f t="shared" ref="D25:D31" si="5">IF(C25=0,"%",C25/B25)</f>
        <v>2.8425591100583153E-2</v>
      </c>
      <c r="E25" s="395">
        <v>2714818</v>
      </c>
      <c r="F25" s="395">
        <v>157824</v>
      </c>
      <c r="G25" s="395">
        <v>14931585</v>
      </c>
      <c r="H25" s="91">
        <f>B25+F25+G25</f>
        <v>110595532</v>
      </c>
      <c r="I25" s="148">
        <f>IF(H25=0,"%",(F25+G25)/H25)</f>
        <v>0.1364377812297155</v>
      </c>
      <c r="J25" s="84">
        <f>(C25+C27+C29)-(E25+E27+E29)</f>
        <v>0</v>
      </c>
      <c r="K25" s="85" t="str">
        <f>IF(J25&gt;0,"WARNING: IS subsidizing OS","Compliant")</f>
        <v>Compliant</v>
      </c>
    </row>
    <row r="26" spans="1:11" s="10" customFormat="1" ht="16.350000000000001" customHeight="1" x14ac:dyDescent="0.2">
      <c r="A26" s="34" t="s">
        <v>103</v>
      </c>
      <c r="B26" s="38">
        <f>+'2-Revenue'!C8</f>
        <v>18236963</v>
      </c>
      <c r="C26" s="395">
        <v>478066</v>
      </c>
      <c r="D26" s="83">
        <f t="shared" si="5"/>
        <v>2.6214123480976521E-2</v>
      </c>
      <c r="E26" s="395">
        <v>478066</v>
      </c>
      <c r="F26" s="395">
        <v>224424</v>
      </c>
      <c r="G26" s="395">
        <v>562156</v>
      </c>
      <c r="H26" s="92">
        <f t="shared" ref="H26:H30" si="6">B26+F26+G26</f>
        <v>19023543</v>
      </c>
      <c r="I26" s="148">
        <f t="shared" ref="I26:I31" si="7">IF(H26=0,"%",(F26+G26)/H26)</f>
        <v>4.1347713199376163E-2</v>
      </c>
    </row>
    <row r="27" spans="1:11" s="10" customFormat="1" ht="15" customHeight="1" x14ac:dyDescent="0.2">
      <c r="A27" s="34" t="s">
        <v>104</v>
      </c>
      <c r="B27" s="38">
        <f>+'2-Revenue'!C9</f>
        <v>21376032</v>
      </c>
      <c r="C27" s="395">
        <v>93780</v>
      </c>
      <c r="D27" s="83">
        <f t="shared" si="5"/>
        <v>4.3871566060529853E-3</v>
      </c>
      <c r="E27" s="395">
        <v>93780</v>
      </c>
      <c r="F27" s="395">
        <v>1802373</v>
      </c>
      <c r="G27" s="395">
        <v>1936005</v>
      </c>
      <c r="H27" s="92">
        <f t="shared" si="6"/>
        <v>25114410</v>
      </c>
      <c r="I27" s="148">
        <f t="shared" si="7"/>
        <v>0.14885390498920739</v>
      </c>
    </row>
    <row r="28" spans="1:11" s="10" customFormat="1" ht="15" customHeight="1" x14ac:dyDescent="0.2">
      <c r="A28" s="34" t="s">
        <v>105</v>
      </c>
      <c r="B28" s="38">
        <f>+'2-Revenue'!C10</f>
        <v>6059153</v>
      </c>
      <c r="C28" s="395">
        <v>40854</v>
      </c>
      <c r="D28" s="83">
        <f t="shared" si="5"/>
        <v>6.7425265544540629E-3</v>
      </c>
      <c r="E28" s="395">
        <v>40854</v>
      </c>
      <c r="F28" s="395">
        <v>6120143</v>
      </c>
      <c r="G28" s="395">
        <v>25641</v>
      </c>
      <c r="H28" s="92">
        <f t="shared" si="6"/>
        <v>12204937</v>
      </c>
      <c r="I28" s="148">
        <f t="shared" si="7"/>
        <v>0.50354901463235735</v>
      </c>
    </row>
    <row r="29" spans="1:11" s="10" customFormat="1" ht="15" customHeight="1" x14ac:dyDescent="0.2">
      <c r="A29" s="34" t="s">
        <v>145</v>
      </c>
      <c r="B29" s="38">
        <f>+SUM('2-Revenue'!C11+'2-Revenue'!C13+'2-Revenue'!C15+'2-Revenue'!C17+'2-Revenue'!C19)</f>
        <v>0</v>
      </c>
      <c r="C29" s="33">
        <f>0</f>
        <v>0</v>
      </c>
      <c r="D29" s="83" t="str">
        <f t="shared" si="5"/>
        <v>%</v>
      </c>
      <c r="E29" s="33">
        <f>0</f>
        <v>0</v>
      </c>
      <c r="F29" s="33">
        <f>0</f>
        <v>0</v>
      </c>
      <c r="G29" s="33">
        <f>0</f>
        <v>0</v>
      </c>
      <c r="H29" s="92">
        <f t="shared" si="6"/>
        <v>0</v>
      </c>
      <c r="I29" s="148" t="str">
        <f t="shared" si="7"/>
        <v>%</v>
      </c>
    </row>
    <row r="30" spans="1:11" s="10" customFormat="1" ht="15" customHeight="1" thickBot="1" x14ac:dyDescent="0.25">
      <c r="A30" s="35" t="s">
        <v>146</v>
      </c>
      <c r="B30" s="38">
        <f>+SUM('2-Revenue'!C12+'2-Revenue'!C14+'2-Revenue'!C16+'2-Revenue'!C18+'2-Revenue'!C20)</f>
        <v>0</v>
      </c>
      <c r="C30" s="33">
        <f>0</f>
        <v>0</v>
      </c>
      <c r="D30" s="86" t="str">
        <f t="shared" si="5"/>
        <v>%</v>
      </c>
      <c r="E30" s="33">
        <f>0</f>
        <v>0</v>
      </c>
      <c r="F30" s="33">
        <f>0</f>
        <v>0</v>
      </c>
      <c r="G30" s="33">
        <f>0</f>
        <v>0</v>
      </c>
      <c r="H30" s="93">
        <f t="shared" si="6"/>
        <v>0</v>
      </c>
      <c r="I30" s="148" t="str">
        <f t="shared" si="7"/>
        <v>%</v>
      </c>
    </row>
    <row r="31" spans="1:11" s="10" customFormat="1" ht="15" customHeight="1" thickBot="1" x14ac:dyDescent="0.25">
      <c r="A31" s="36" t="s">
        <v>147</v>
      </c>
      <c r="B31" s="41">
        <f>SUM(B25:B30)</f>
        <v>141178271</v>
      </c>
      <c r="C31" s="41">
        <f t="shared" ref="C31:H31" si="8">SUM(C25:C30)</f>
        <v>3327518</v>
      </c>
      <c r="D31" s="87">
        <f t="shared" si="5"/>
        <v>2.3569618585284984E-2</v>
      </c>
      <c r="E31" s="41">
        <f t="shared" si="8"/>
        <v>3327518</v>
      </c>
      <c r="F31" s="39">
        <f t="shared" si="8"/>
        <v>8304764</v>
      </c>
      <c r="G31" s="39">
        <f t="shared" si="8"/>
        <v>17455387</v>
      </c>
      <c r="H31" s="90">
        <f t="shared" si="8"/>
        <v>166938422</v>
      </c>
      <c r="I31" s="149">
        <f t="shared" si="7"/>
        <v>0.1543092997488619</v>
      </c>
    </row>
    <row r="32" spans="1:11" s="10" customFormat="1" ht="15" customHeight="1" x14ac:dyDescent="0.2">
      <c r="A32" s="475"/>
      <c r="B32" s="475"/>
      <c r="C32" s="475"/>
      <c r="D32" s="475"/>
      <c r="E32" s="475"/>
      <c r="I32" s="150"/>
    </row>
    <row r="33" spans="1:11" s="10" customFormat="1" ht="15" customHeight="1" x14ac:dyDescent="0.2">
      <c r="A33" s="455" t="s">
        <v>149</v>
      </c>
      <c r="B33" s="455"/>
      <c r="C33" s="455"/>
      <c r="D33" s="455"/>
      <c r="E33" s="455"/>
      <c r="F33" s="455"/>
      <c r="G33" s="455"/>
      <c r="H33" s="455"/>
      <c r="I33" s="147"/>
    </row>
    <row r="34" spans="1:11" ht="15" customHeight="1" x14ac:dyDescent="0.2">
      <c r="A34" s="469" t="s">
        <v>134</v>
      </c>
      <c r="B34" s="465" t="s">
        <v>135</v>
      </c>
      <c r="C34" s="465" t="s">
        <v>136</v>
      </c>
      <c r="D34" s="471" t="s">
        <v>137</v>
      </c>
      <c r="E34" s="465" t="s">
        <v>138</v>
      </c>
      <c r="F34" s="465" t="s">
        <v>139</v>
      </c>
      <c r="G34" s="465" t="s">
        <v>140</v>
      </c>
      <c r="H34" s="466" t="s">
        <v>141</v>
      </c>
      <c r="I34" s="462" t="s">
        <v>142</v>
      </c>
    </row>
    <row r="35" spans="1:11" ht="12.6" customHeight="1" thickBot="1" x14ac:dyDescent="0.25">
      <c r="A35" s="469"/>
      <c r="B35" s="466"/>
      <c r="C35" s="466"/>
      <c r="D35" s="471"/>
      <c r="E35" s="466"/>
      <c r="F35" s="466"/>
      <c r="G35" s="466"/>
      <c r="H35" s="466"/>
      <c r="I35" s="463"/>
      <c r="J35" s="10"/>
    </row>
    <row r="36" spans="1:11" s="10" customFormat="1" ht="15" customHeight="1" x14ac:dyDescent="0.2">
      <c r="A36" s="469"/>
      <c r="B36" s="467"/>
      <c r="C36" s="467"/>
      <c r="D36" s="471"/>
      <c r="E36" s="467"/>
      <c r="F36" s="467"/>
      <c r="G36" s="467"/>
      <c r="H36" s="467"/>
      <c r="I36" s="463"/>
      <c r="J36" s="473" t="s">
        <v>143</v>
      </c>
      <c r="K36" s="447"/>
    </row>
    <row r="37" spans="1:11" s="10" customFormat="1" ht="16.350000000000001" customHeight="1" thickBot="1" x14ac:dyDescent="0.25">
      <c r="A37" s="470"/>
      <c r="B37" s="468"/>
      <c r="C37" s="468"/>
      <c r="D37" s="472"/>
      <c r="E37" s="468"/>
      <c r="F37" s="468"/>
      <c r="G37" s="468"/>
      <c r="H37" s="468"/>
      <c r="I37" s="464"/>
      <c r="J37" s="474" t="s">
        <v>144</v>
      </c>
      <c r="K37" s="449"/>
    </row>
    <row r="38" spans="1:11" s="10" customFormat="1" ht="16.350000000000001" customHeight="1" x14ac:dyDescent="0.2">
      <c r="A38" s="32" t="s">
        <v>102</v>
      </c>
      <c r="B38" s="37">
        <f>+'2-Revenue'!E7</f>
        <v>99835129</v>
      </c>
      <c r="C38" s="395">
        <v>2714818</v>
      </c>
      <c r="D38" s="83">
        <f t="shared" ref="D38:D44" si="9">IF(C38=0,"%",C38/B38)</f>
        <v>2.7193013393111358E-2</v>
      </c>
      <c r="E38" s="395">
        <v>2714818</v>
      </c>
      <c r="F38" s="395">
        <v>165204</v>
      </c>
      <c r="G38" s="395">
        <v>15629833</v>
      </c>
      <c r="H38" s="91">
        <f>B38+F38+G38</f>
        <v>115630166</v>
      </c>
      <c r="I38" s="148">
        <f>IF(H38=0,"%",(F38+G38)/H38)</f>
        <v>0.13659962228195713</v>
      </c>
      <c r="J38" s="84">
        <f>(C38+C40+C42)-(E38+E40+E42)</f>
        <v>0</v>
      </c>
      <c r="K38" s="85" t="str">
        <f>IF(J38&gt;0,"WARNING: IS subsidizing OS","Compliant")</f>
        <v>Compliant</v>
      </c>
    </row>
    <row r="39" spans="1:11" s="10" customFormat="1" ht="16.350000000000001" customHeight="1" x14ac:dyDescent="0.2">
      <c r="A39" s="34" t="s">
        <v>103</v>
      </c>
      <c r="B39" s="40">
        <f>+'2-Revenue'!E8</f>
        <v>18280314</v>
      </c>
      <c r="C39" s="395">
        <v>478066</v>
      </c>
      <c r="D39" s="83">
        <f t="shared" si="9"/>
        <v>2.6151957783657327E-2</v>
      </c>
      <c r="E39" s="395">
        <v>478066</v>
      </c>
      <c r="F39" s="395">
        <v>224993</v>
      </c>
      <c r="G39" s="395">
        <v>563581</v>
      </c>
      <c r="H39" s="92">
        <f t="shared" ref="H39:H43" si="10">B39+F39+G39</f>
        <v>19068888</v>
      </c>
      <c r="I39" s="148">
        <f t="shared" ref="I39:I44" si="11">IF(H39=0,"%",(F39+G39)/H39)</f>
        <v>4.1353958343034999E-2</v>
      </c>
    </row>
    <row r="40" spans="1:11" s="10" customFormat="1" ht="16.350000000000001" customHeight="1" x14ac:dyDescent="0.2">
      <c r="A40" s="34" t="s">
        <v>104</v>
      </c>
      <c r="B40" s="40">
        <f>+'2-Revenue'!E9</f>
        <v>22618910</v>
      </c>
      <c r="C40" s="395">
        <v>93780</v>
      </c>
      <c r="D40" s="83">
        <f t="shared" si="9"/>
        <v>4.146088383569323E-3</v>
      </c>
      <c r="E40" s="395">
        <v>93780</v>
      </c>
      <c r="F40" s="395">
        <v>1907169</v>
      </c>
      <c r="G40" s="395">
        <v>2048571</v>
      </c>
      <c r="H40" s="92">
        <f t="shared" si="10"/>
        <v>26574650</v>
      </c>
      <c r="I40" s="148">
        <f t="shared" si="11"/>
        <v>0.14885388895056004</v>
      </c>
    </row>
    <row r="41" spans="1:11" s="10" customFormat="1" ht="15" customHeight="1" x14ac:dyDescent="0.2">
      <c r="A41" s="34" t="s">
        <v>105</v>
      </c>
      <c r="B41" s="40">
        <f>+'2-Revenue'!E10</f>
        <v>5974126</v>
      </c>
      <c r="C41" s="395">
        <v>40854</v>
      </c>
      <c r="D41" s="83">
        <f t="shared" si="9"/>
        <v>6.8384898477199842E-3</v>
      </c>
      <c r="E41" s="395">
        <v>40854</v>
      </c>
      <c r="F41" s="395">
        <v>6034261</v>
      </c>
      <c r="G41" s="395">
        <v>25281</v>
      </c>
      <c r="H41" s="92">
        <f t="shared" si="10"/>
        <v>12033668</v>
      </c>
      <c r="I41" s="148">
        <f t="shared" si="11"/>
        <v>0.50354904256956401</v>
      </c>
    </row>
    <row r="42" spans="1:11" s="10" customFormat="1" ht="15" customHeight="1" x14ac:dyDescent="0.2">
      <c r="A42" s="34" t="s">
        <v>145</v>
      </c>
      <c r="B42" s="38">
        <f>+SUM('2-Revenue'!E11+'2-Revenue'!E13+'2-Revenue'!E15+'2-Revenue'!E17+'2-Revenue'!E19)</f>
        <v>0</v>
      </c>
      <c r="C42" s="33">
        <f>0</f>
        <v>0</v>
      </c>
      <c r="D42" s="83" t="str">
        <f t="shared" si="9"/>
        <v>%</v>
      </c>
      <c r="E42" s="33">
        <f>0</f>
        <v>0</v>
      </c>
      <c r="F42" s="33">
        <f>0</f>
        <v>0</v>
      </c>
      <c r="G42" s="33">
        <f>0</f>
        <v>0</v>
      </c>
      <c r="H42" s="92">
        <f t="shared" si="10"/>
        <v>0</v>
      </c>
      <c r="I42" s="148" t="str">
        <f t="shared" si="11"/>
        <v>%</v>
      </c>
    </row>
    <row r="43" spans="1:11" s="10" customFormat="1" ht="15" customHeight="1" thickBot="1" x14ac:dyDescent="0.25">
      <c r="A43" s="35" t="s">
        <v>146</v>
      </c>
      <c r="B43" s="38">
        <f>+SUM('2-Revenue'!E12+'2-Revenue'!E14+'2-Revenue'!E16+'2-Revenue'!E18+'2-Revenue'!E20)</f>
        <v>0</v>
      </c>
      <c r="C43" s="33">
        <f>0</f>
        <v>0</v>
      </c>
      <c r="D43" s="83" t="str">
        <f t="shared" si="9"/>
        <v>%</v>
      </c>
      <c r="E43" s="33">
        <f>0</f>
        <v>0</v>
      </c>
      <c r="F43" s="33">
        <f>0</f>
        <v>0</v>
      </c>
      <c r="G43" s="33">
        <f>0</f>
        <v>0</v>
      </c>
      <c r="H43" s="93">
        <f t="shared" si="10"/>
        <v>0</v>
      </c>
      <c r="I43" s="148" t="str">
        <f t="shared" si="11"/>
        <v>%</v>
      </c>
    </row>
    <row r="44" spans="1:11" s="10" customFormat="1" ht="15" customHeight="1" thickBot="1" x14ac:dyDescent="0.25">
      <c r="A44" s="36" t="s">
        <v>147</v>
      </c>
      <c r="B44" s="41">
        <f>SUM(B38:B43)</f>
        <v>146708479</v>
      </c>
      <c r="C44" s="41">
        <f t="shared" ref="C44:H44" si="12">SUM(C38:C43)</f>
        <v>3327518</v>
      </c>
      <c r="D44" s="87">
        <f t="shared" si="9"/>
        <v>2.2681156690336896E-2</v>
      </c>
      <c r="E44" s="41">
        <f t="shared" si="12"/>
        <v>3327518</v>
      </c>
      <c r="F44" s="39">
        <f t="shared" si="12"/>
        <v>8331627</v>
      </c>
      <c r="G44" s="39">
        <f t="shared" si="12"/>
        <v>18267266</v>
      </c>
      <c r="H44" s="90">
        <f t="shared" si="12"/>
        <v>173307372</v>
      </c>
      <c r="I44" s="149">
        <f t="shared" si="11"/>
        <v>0.1534781394065568</v>
      </c>
    </row>
    <row r="45" spans="1:11" s="10" customFormat="1" ht="15" customHeight="1" x14ac:dyDescent="0.2">
      <c r="A45" s="476"/>
      <c r="B45" s="476"/>
      <c r="C45" s="476"/>
      <c r="D45" s="476"/>
      <c r="E45" s="476"/>
      <c r="I45" s="150"/>
    </row>
    <row r="46" spans="1:11" s="10" customFormat="1" ht="15" customHeight="1" x14ac:dyDescent="0.2">
      <c r="A46" s="455" t="s">
        <v>150</v>
      </c>
      <c r="B46" s="455"/>
      <c r="C46" s="455"/>
      <c r="D46" s="455"/>
      <c r="E46" s="455"/>
      <c r="F46" s="455"/>
      <c r="G46" s="455"/>
      <c r="H46" s="455"/>
      <c r="I46" s="147"/>
    </row>
    <row r="47" spans="1:11" ht="15" customHeight="1" x14ac:dyDescent="0.2">
      <c r="A47" s="469" t="s">
        <v>134</v>
      </c>
      <c r="B47" s="465" t="s">
        <v>135</v>
      </c>
      <c r="C47" s="465" t="s">
        <v>136</v>
      </c>
      <c r="D47" s="471" t="s">
        <v>137</v>
      </c>
      <c r="E47" s="465" t="s">
        <v>138</v>
      </c>
      <c r="F47" s="465" t="s">
        <v>139</v>
      </c>
      <c r="G47" s="465" t="s">
        <v>140</v>
      </c>
      <c r="H47" s="466" t="s">
        <v>141</v>
      </c>
      <c r="I47" s="462" t="s">
        <v>142</v>
      </c>
    </row>
    <row r="48" spans="1:11" ht="15" customHeight="1" thickBot="1" x14ac:dyDescent="0.25">
      <c r="A48" s="469"/>
      <c r="B48" s="466"/>
      <c r="C48" s="466"/>
      <c r="D48" s="471"/>
      <c r="E48" s="466"/>
      <c r="F48" s="466"/>
      <c r="G48" s="466"/>
      <c r="H48" s="466"/>
      <c r="I48" s="463"/>
      <c r="J48" s="10"/>
    </row>
    <row r="49" spans="1:11" ht="15" customHeight="1" x14ac:dyDescent="0.2">
      <c r="A49" s="469"/>
      <c r="B49" s="467"/>
      <c r="C49" s="467"/>
      <c r="D49" s="471"/>
      <c r="E49" s="467"/>
      <c r="F49" s="467"/>
      <c r="G49" s="467"/>
      <c r="H49" s="467"/>
      <c r="I49" s="463"/>
      <c r="J49" s="473" t="s">
        <v>143</v>
      </c>
      <c r="K49" s="447"/>
    </row>
    <row r="50" spans="1:11" ht="15" customHeight="1" thickBot="1" x14ac:dyDescent="0.25">
      <c r="A50" s="470"/>
      <c r="B50" s="468"/>
      <c r="C50" s="468"/>
      <c r="D50" s="472"/>
      <c r="E50" s="468"/>
      <c r="F50" s="468"/>
      <c r="G50" s="468"/>
      <c r="H50" s="468"/>
      <c r="I50" s="464"/>
      <c r="J50" s="474" t="s">
        <v>144</v>
      </c>
      <c r="K50" s="449"/>
    </row>
    <row r="51" spans="1:11" ht="15" x14ac:dyDescent="0.2">
      <c r="A51" s="32" t="s">
        <v>102</v>
      </c>
      <c r="B51" s="37">
        <f>+'2-Revenue'!G7</f>
        <v>104401923</v>
      </c>
      <c r="C51" s="395">
        <v>2714818</v>
      </c>
      <c r="D51" s="83">
        <f t="shared" ref="D51:D57" si="13">IF(C51=0,"%",C51/B51)</f>
        <v>2.6003524858445374E-2</v>
      </c>
      <c r="E51" s="395">
        <v>2714818</v>
      </c>
      <c r="F51" s="395">
        <v>172221</v>
      </c>
      <c r="G51" s="395">
        <v>15832575</v>
      </c>
      <c r="H51" s="91">
        <f>B51+F51+G51</f>
        <v>120406719</v>
      </c>
      <c r="I51" s="148">
        <f>IF(H51=0,"%",(F51+G51)/H51)</f>
        <v>0.13292278149361417</v>
      </c>
      <c r="J51" s="84">
        <f>(C51+C53+C55)-(E51+E53+E55)</f>
        <v>0</v>
      </c>
      <c r="K51" s="85" t="str">
        <f>IF(J51&gt;0,"WARNING: IS subsidizing OS","Compliant")</f>
        <v>Compliant</v>
      </c>
    </row>
    <row r="52" spans="1:11" ht="15" x14ac:dyDescent="0.2">
      <c r="A52" s="34" t="s">
        <v>103</v>
      </c>
      <c r="B52" s="40">
        <f>+'2-Revenue'!G8</f>
        <v>18215368</v>
      </c>
      <c r="C52" s="395">
        <v>478066</v>
      </c>
      <c r="D52" s="83">
        <f t="shared" si="13"/>
        <v>2.6245201304744434E-2</v>
      </c>
      <c r="E52" s="395">
        <v>478066</v>
      </c>
      <c r="F52" s="395">
        <v>224429</v>
      </c>
      <c r="G52" s="395">
        <v>578542</v>
      </c>
      <c r="H52" s="92">
        <f t="shared" ref="H52:H56" si="14">B52+F52+G52</f>
        <v>19018339</v>
      </c>
      <c r="I52" s="148">
        <f t="shared" ref="I52:I57" si="15">IF(H52=0,"%",(F52+G52)/H52)</f>
        <v>4.2220879541583524E-2</v>
      </c>
    </row>
    <row r="53" spans="1:11" ht="15" x14ac:dyDescent="0.2">
      <c r="A53" s="34" t="s">
        <v>104</v>
      </c>
      <c r="B53" s="40">
        <f>+'2-Revenue'!G9</f>
        <v>24102479</v>
      </c>
      <c r="C53" s="395">
        <v>93780</v>
      </c>
      <c r="D53" s="83">
        <f t="shared" si="13"/>
        <v>3.8908860785647815E-3</v>
      </c>
      <c r="E53" s="395">
        <v>93780</v>
      </c>
      <c r="F53" s="395">
        <v>2027064</v>
      </c>
      <c r="G53" s="395">
        <v>2115732</v>
      </c>
      <c r="H53" s="92">
        <f t="shared" si="14"/>
        <v>28245275</v>
      </c>
      <c r="I53" s="148">
        <f t="shared" si="15"/>
        <v>0.14667217791294296</v>
      </c>
    </row>
    <row r="54" spans="1:11" ht="15" x14ac:dyDescent="0.2">
      <c r="A54" s="34" t="s">
        <v>105</v>
      </c>
      <c r="B54" s="40">
        <f>+'2-Revenue'!G10</f>
        <v>5837386</v>
      </c>
      <c r="C54" s="395">
        <v>40854</v>
      </c>
      <c r="D54" s="83">
        <f t="shared" si="13"/>
        <v>6.9986805738047816E-3</v>
      </c>
      <c r="E54" s="395">
        <v>40854</v>
      </c>
      <c r="F54" s="395">
        <v>5895417</v>
      </c>
      <c r="G54" s="395">
        <v>23980</v>
      </c>
      <c r="H54" s="92">
        <f t="shared" si="14"/>
        <v>11756783</v>
      </c>
      <c r="I54" s="148">
        <f t="shared" si="15"/>
        <v>0.50348781635248352</v>
      </c>
    </row>
    <row r="55" spans="1:11" ht="15" x14ac:dyDescent="0.2">
      <c r="A55" s="34" t="s">
        <v>145</v>
      </c>
      <c r="B55" s="38">
        <f>+SUM('2-Revenue'!G11+'2-Revenue'!G13+'2-Revenue'!G15+'2-Revenue'!G17+'2-Revenue'!G19)</f>
        <v>0</v>
      </c>
      <c r="C55" s="33">
        <f>0</f>
        <v>0</v>
      </c>
      <c r="D55" s="83" t="str">
        <f t="shared" si="13"/>
        <v>%</v>
      </c>
      <c r="E55" s="33">
        <f>0</f>
        <v>0</v>
      </c>
      <c r="F55" s="33">
        <f>0</f>
        <v>0</v>
      </c>
      <c r="G55" s="33">
        <f>0</f>
        <v>0</v>
      </c>
      <c r="H55" s="92">
        <f t="shared" si="14"/>
        <v>0</v>
      </c>
      <c r="I55" s="148" t="str">
        <f t="shared" si="15"/>
        <v>%</v>
      </c>
    </row>
    <row r="56" spans="1:11" ht="15.75" thickBot="1" x14ac:dyDescent="0.25">
      <c r="A56" s="35" t="s">
        <v>146</v>
      </c>
      <c r="B56" s="38">
        <f>+SUM('2-Revenue'!G12+'2-Revenue'!G14+'2-Revenue'!G16+'2-Revenue'!G18+'2-Revenue'!G20)</f>
        <v>0</v>
      </c>
      <c r="C56" s="33">
        <f>0</f>
        <v>0</v>
      </c>
      <c r="D56" s="83" t="str">
        <f t="shared" si="13"/>
        <v>%</v>
      </c>
      <c r="E56" s="33">
        <f>0</f>
        <v>0</v>
      </c>
      <c r="F56" s="33">
        <f>0</f>
        <v>0</v>
      </c>
      <c r="G56" s="33">
        <f>0</f>
        <v>0</v>
      </c>
      <c r="H56" s="93">
        <f t="shared" si="14"/>
        <v>0</v>
      </c>
      <c r="I56" s="148" t="str">
        <f t="shared" si="15"/>
        <v>%</v>
      </c>
    </row>
    <row r="57" spans="1:11" ht="15.75" thickBot="1" x14ac:dyDescent="0.25">
      <c r="A57" s="36" t="s">
        <v>147</v>
      </c>
      <c r="B57" s="41">
        <f>SUM(B51:B56)</f>
        <v>152557156</v>
      </c>
      <c r="C57" s="41">
        <f t="shared" ref="C57:H57" si="16">SUM(C51:C56)</f>
        <v>3327518</v>
      </c>
      <c r="D57" s="87">
        <f t="shared" si="13"/>
        <v>2.1811615313541897E-2</v>
      </c>
      <c r="E57" s="41">
        <f t="shared" si="16"/>
        <v>3327518</v>
      </c>
      <c r="F57" s="39">
        <f t="shared" si="16"/>
        <v>8319131</v>
      </c>
      <c r="G57" s="39">
        <f t="shared" si="16"/>
        <v>18550829</v>
      </c>
      <c r="H57" s="90">
        <f t="shared" si="16"/>
        <v>179427116</v>
      </c>
      <c r="I57" s="149">
        <f t="shared" si="15"/>
        <v>0.14975417650919609</v>
      </c>
      <c r="J57" s="88"/>
    </row>
    <row r="58" spans="1:11" ht="15" x14ac:dyDescent="0.2">
      <c r="A58" s="164"/>
      <c r="B58" s="165"/>
      <c r="C58" s="165"/>
      <c r="D58" s="166"/>
      <c r="E58" s="165"/>
      <c r="F58" s="167"/>
      <c r="G58" s="167"/>
      <c r="H58" s="167"/>
      <c r="I58" s="168"/>
      <c r="J58" s="88"/>
    </row>
    <row r="59" spans="1:11" ht="15.75" x14ac:dyDescent="0.2">
      <c r="A59" s="455" t="s">
        <v>151</v>
      </c>
      <c r="B59" s="455"/>
      <c r="C59" s="455"/>
      <c r="D59" s="455"/>
      <c r="E59" s="455"/>
      <c r="F59" s="455"/>
      <c r="G59" s="455"/>
      <c r="H59" s="455"/>
      <c r="I59" s="147"/>
      <c r="J59" s="10"/>
      <c r="K59" s="10"/>
    </row>
    <row r="60" spans="1:11" ht="12.75" customHeight="1" x14ac:dyDescent="0.2">
      <c r="A60" s="469" t="s">
        <v>134</v>
      </c>
      <c r="B60" s="465" t="s">
        <v>135</v>
      </c>
      <c r="C60" s="465" t="s">
        <v>136</v>
      </c>
      <c r="D60" s="471" t="s">
        <v>137</v>
      </c>
      <c r="E60" s="465" t="s">
        <v>138</v>
      </c>
      <c r="F60" s="465" t="s">
        <v>139</v>
      </c>
      <c r="G60" s="465" t="s">
        <v>140</v>
      </c>
      <c r="H60" s="466" t="s">
        <v>141</v>
      </c>
      <c r="I60" s="462" t="s">
        <v>142</v>
      </c>
    </row>
    <row r="61" spans="1:11" ht="13.5" customHeight="1" thickBot="1" x14ac:dyDescent="0.25">
      <c r="A61" s="469"/>
      <c r="B61" s="466"/>
      <c r="C61" s="466"/>
      <c r="D61" s="471"/>
      <c r="E61" s="466"/>
      <c r="F61" s="466"/>
      <c r="G61" s="466"/>
      <c r="H61" s="466"/>
      <c r="I61" s="463"/>
      <c r="J61" s="10"/>
    </row>
    <row r="62" spans="1:11" ht="12.75" customHeight="1" x14ac:dyDescent="0.2">
      <c r="A62" s="469"/>
      <c r="B62" s="467"/>
      <c r="C62" s="467"/>
      <c r="D62" s="471"/>
      <c r="E62" s="467"/>
      <c r="F62" s="467"/>
      <c r="G62" s="467"/>
      <c r="H62" s="467"/>
      <c r="I62" s="463"/>
      <c r="J62" s="473" t="s">
        <v>143</v>
      </c>
      <c r="K62" s="447"/>
    </row>
    <row r="63" spans="1:11" ht="19.5" customHeight="1" thickBot="1" x14ac:dyDescent="0.25">
      <c r="A63" s="470"/>
      <c r="B63" s="468"/>
      <c r="C63" s="468"/>
      <c r="D63" s="472"/>
      <c r="E63" s="468"/>
      <c r="F63" s="468"/>
      <c r="G63" s="468"/>
      <c r="H63" s="468"/>
      <c r="I63" s="464"/>
      <c r="J63" s="474" t="s">
        <v>144</v>
      </c>
      <c r="K63" s="449"/>
    </row>
    <row r="64" spans="1:11" ht="15" x14ac:dyDescent="0.2">
      <c r="A64" s="32" t="s">
        <v>102</v>
      </c>
      <c r="B64" s="37">
        <f>+'2-Revenue'!I7</f>
        <v>102646879</v>
      </c>
      <c r="C64" s="395">
        <v>2714818</v>
      </c>
      <c r="D64" s="83">
        <f t="shared" ref="D64:D70" si="17">IF(C64=0,"%",C64/B64)</f>
        <v>2.6448130001107972E-2</v>
      </c>
      <c r="E64" s="395">
        <v>2714818</v>
      </c>
      <c r="F64" s="395">
        <v>169326</v>
      </c>
      <c r="G64" s="395">
        <v>15566422</v>
      </c>
      <c r="H64" s="91">
        <f>B64+F64+G64</f>
        <v>118382627</v>
      </c>
      <c r="I64" s="148">
        <f>IF(H64=0,"%",(F64+G64)/H64)</f>
        <v>0.13292278097528618</v>
      </c>
      <c r="J64" s="84">
        <f>(C64+C66+C68)-(E64+E66+E68)</f>
        <v>0</v>
      </c>
      <c r="K64" s="85" t="str">
        <f>IF(J64&gt;0,"WARNING: IS subsidizing OS","Compliant")</f>
        <v>Compliant</v>
      </c>
    </row>
    <row r="65" spans="1:11" ht="15" x14ac:dyDescent="0.2">
      <c r="A65" s="34" t="s">
        <v>103</v>
      </c>
      <c r="B65" s="37">
        <f>+'2-Revenue'!I8</f>
        <v>17621777</v>
      </c>
      <c r="C65" s="395">
        <v>478066</v>
      </c>
      <c r="D65" s="83">
        <f t="shared" si="17"/>
        <v>2.7129273057989553E-2</v>
      </c>
      <c r="E65" s="395">
        <v>478066</v>
      </c>
      <c r="F65" s="395">
        <v>217116</v>
      </c>
      <c r="G65" s="395">
        <v>559689</v>
      </c>
      <c r="H65" s="92">
        <f t="shared" ref="H65:H69" si="18">B65+F65+G65</f>
        <v>18398582</v>
      </c>
      <c r="I65" s="148">
        <f t="shared" ref="I65:I70" si="19">IF(H65=0,"%",(F65+G65)/H65)</f>
        <v>4.2220916807610497E-2</v>
      </c>
    </row>
    <row r="66" spans="1:11" ht="15" x14ac:dyDescent="0.2">
      <c r="A66" s="34" t="s">
        <v>104</v>
      </c>
      <c r="B66" s="37">
        <f>+'2-Revenue'!I9</f>
        <v>24160261</v>
      </c>
      <c r="C66" s="395">
        <v>93780</v>
      </c>
      <c r="D66" s="83">
        <f t="shared" si="17"/>
        <v>3.8815805839183606E-3</v>
      </c>
      <c r="E66" s="395">
        <v>93780</v>
      </c>
      <c r="F66" s="395">
        <v>2031924</v>
      </c>
      <c r="G66" s="395">
        <v>2120804</v>
      </c>
      <c r="H66" s="92">
        <f t="shared" si="18"/>
        <v>28312989</v>
      </c>
      <c r="I66" s="148">
        <f t="shared" si="19"/>
        <v>0.14667218639473212</v>
      </c>
    </row>
    <row r="67" spans="1:11" ht="15" x14ac:dyDescent="0.2">
      <c r="A67" s="34" t="s">
        <v>105</v>
      </c>
      <c r="B67" s="37">
        <f>+'2-Revenue'!I10</f>
        <v>5586777</v>
      </c>
      <c r="C67" s="395">
        <v>40854</v>
      </c>
      <c r="D67" s="83">
        <f t="shared" si="17"/>
        <v>7.3126240764576789E-3</v>
      </c>
      <c r="E67" s="395">
        <v>40854</v>
      </c>
      <c r="F67" s="395">
        <v>5642317</v>
      </c>
      <c r="G67" s="395">
        <v>22951</v>
      </c>
      <c r="H67" s="92">
        <f t="shared" si="18"/>
        <v>11252045</v>
      </c>
      <c r="I67" s="148">
        <f t="shared" si="19"/>
        <v>0.50348785487438064</v>
      </c>
    </row>
    <row r="68" spans="1:11" ht="15" x14ac:dyDescent="0.2">
      <c r="A68" s="34" t="s">
        <v>145</v>
      </c>
      <c r="B68" s="38">
        <f>+SUM('2-Revenue'!I11+'2-Revenue'!I13+'2-Revenue'!I15+'2-Revenue'!I17+'2-Revenue'!I19)</f>
        <v>0</v>
      </c>
      <c r="C68" s="33">
        <f>0</f>
        <v>0</v>
      </c>
      <c r="D68" s="83" t="str">
        <f t="shared" si="17"/>
        <v>%</v>
      </c>
      <c r="E68" s="33">
        <f>0</f>
        <v>0</v>
      </c>
      <c r="F68" s="33">
        <f>0</f>
        <v>0</v>
      </c>
      <c r="G68" s="33">
        <f>0</f>
        <v>0</v>
      </c>
      <c r="H68" s="92">
        <f t="shared" si="18"/>
        <v>0</v>
      </c>
      <c r="I68" s="148" t="str">
        <f t="shared" si="19"/>
        <v>%</v>
      </c>
    </row>
    <row r="69" spans="1:11" ht="15.75" thickBot="1" x14ac:dyDescent="0.25">
      <c r="A69" s="35" t="s">
        <v>146</v>
      </c>
      <c r="B69" s="38">
        <f>+SUM('2-Revenue'!I12+'2-Revenue'!I14+'2-Revenue'!I16+'2-Revenue'!I18+'2-Revenue'!I20)</f>
        <v>0</v>
      </c>
      <c r="C69" s="33">
        <f>0</f>
        <v>0</v>
      </c>
      <c r="D69" s="83" t="str">
        <f t="shared" si="17"/>
        <v>%</v>
      </c>
      <c r="E69" s="33">
        <f>0</f>
        <v>0</v>
      </c>
      <c r="F69" s="33">
        <f>0</f>
        <v>0</v>
      </c>
      <c r="G69" s="33">
        <f>0</f>
        <v>0</v>
      </c>
      <c r="H69" s="93">
        <f t="shared" si="18"/>
        <v>0</v>
      </c>
      <c r="I69" s="148" t="str">
        <f t="shared" si="19"/>
        <v>%</v>
      </c>
    </row>
    <row r="70" spans="1:11" ht="15.75" thickBot="1" x14ac:dyDescent="0.25">
      <c r="A70" s="36" t="s">
        <v>147</v>
      </c>
      <c r="B70" s="41">
        <f>SUM(B64:B69)</f>
        <v>150015694</v>
      </c>
      <c r="C70" s="41">
        <f t="shared" ref="C70" si="20">SUM(C64:C69)</f>
        <v>3327518</v>
      </c>
      <c r="D70" s="87">
        <f t="shared" si="17"/>
        <v>2.2181132595366988E-2</v>
      </c>
      <c r="E70" s="41">
        <f t="shared" ref="E70:H70" si="21">SUM(E64:E69)</f>
        <v>3327518</v>
      </c>
      <c r="F70" s="39">
        <f t="shared" si="21"/>
        <v>8060683</v>
      </c>
      <c r="G70" s="39">
        <f t="shared" si="21"/>
        <v>18269866</v>
      </c>
      <c r="H70" s="90">
        <f t="shared" si="21"/>
        <v>176346243</v>
      </c>
      <c r="I70" s="149">
        <f t="shared" si="19"/>
        <v>0.14931165275803465</v>
      </c>
      <c r="J70" s="88"/>
    </row>
    <row r="71" spans="1:11" ht="15" x14ac:dyDescent="0.2">
      <c r="A71" s="164"/>
      <c r="B71" s="165"/>
      <c r="C71" s="165"/>
      <c r="D71" s="166"/>
      <c r="E71" s="165"/>
      <c r="F71" s="167"/>
      <c r="G71" s="167"/>
      <c r="H71" s="167"/>
      <c r="I71" s="168"/>
      <c r="J71" s="88"/>
    </row>
    <row r="72" spans="1:11" ht="12.75" customHeight="1" x14ac:dyDescent="0.2">
      <c r="A72" s="455" t="s">
        <v>152</v>
      </c>
      <c r="B72" s="455"/>
      <c r="C72" s="455"/>
      <c r="D72" s="455"/>
      <c r="E72" s="455"/>
      <c r="F72" s="455"/>
      <c r="G72" s="455"/>
      <c r="H72" s="455"/>
      <c r="I72" s="147"/>
      <c r="J72" s="10"/>
      <c r="K72" s="10"/>
    </row>
    <row r="73" spans="1:11" ht="13.5" customHeight="1" x14ac:dyDescent="0.2">
      <c r="A73" s="469" t="s">
        <v>134</v>
      </c>
      <c r="B73" s="465" t="s">
        <v>135</v>
      </c>
      <c r="C73" s="465" t="s">
        <v>136</v>
      </c>
      <c r="D73" s="471" t="s">
        <v>137</v>
      </c>
      <c r="E73" s="465" t="s">
        <v>138</v>
      </c>
      <c r="F73" s="465" t="s">
        <v>139</v>
      </c>
      <c r="G73" s="465" t="s">
        <v>140</v>
      </c>
      <c r="H73" s="466" t="s">
        <v>141</v>
      </c>
      <c r="I73" s="462" t="s">
        <v>142</v>
      </c>
    </row>
    <row r="74" spans="1:11" ht="13.5" customHeight="1" thickBot="1" x14ac:dyDescent="0.25">
      <c r="A74" s="469"/>
      <c r="B74" s="466"/>
      <c r="C74" s="466"/>
      <c r="D74" s="471"/>
      <c r="E74" s="466"/>
      <c r="F74" s="466"/>
      <c r="G74" s="466"/>
      <c r="H74" s="466"/>
      <c r="I74" s="463"/>
      <c r="J74" s="10"/>
    </row>
    <row r="75" spans="1:11" ht="12.75" customHeight="1" x14ac:dyDescent="0.2">
      <c r="A75" s="469"/>
      <c r="B75" s="467"/>
      <c r="C75" s="467"/>
      <c r="D75" s="471"/>
      <c r="E75" s="467"/>
      <c r="F75" s="467"/>
      <c r="G75" s="467"/>
      <c r="H75" s="467"/>
      <c r="I75" s="463"/>
      <c r="J75" s="473" t="s">
        <v>143</v>
      </c>
      <c r="K75" s="447"/>
    </row>
    <row r="76" spans="1:11" ht="22.5" customHeight="1" thickBot="1" x14ac:dyDescent="0.25">
      <c r="A76" s="470"/>
      <c r="B76" s="468"/>
      <c r="C76" s="468"/>
      <c r="D76" s="472"/>
      <c r="E76" s="468"/>
      <c r="F76" s="468"/>
      <c r="G76" s="468"/>
      <c r="H76" s="468"/>
      <c r="I76" s="464"/>
      <c r="J76" s="474" t="s">
        <v>144</v>
      </c>
      <c r="K76" s="449"/>
    </row>
    <row r="77" spans="1:11" ht="15" x14ac:dyDescent="0.2">
      <c r="A77" s="32" t="s">
        <v>102</v>
      </c>
      <c r="B77" s="37">
        <f>+'2-Revenue'!K7</f>
        <v>100891835</v>
      </c>
      <c r="C77" s="395">
        <v>2714818</v>
      </c>
      <c r="D77" s="83">
        <f t="shared" ref="D77:D83" si="22">IF(C77=0,"%",C77/B77)</f>
        <v>2.690820322576153E-2</v>
      </c>
      <c r="E77" s="395">
        <v>2714818</v>
      </c>
      <c r="F77" s="395">
        <v>166431</v>
      </c>
      <c r="G77" s="395">
        <v>15300270</v>
      </c>
      <c r="H77" s="91">
        <f>B77+F77+G77</f>
        <v>116358536</v>
      </c>
      <c r="I77" s="148">
        <f>IF(H77=0,"%",(F77+G77)/H77)</f>
        <v>0.13292278789069673</v>
      </c>
      <c r="J77" s="84">
        <f>(C77+C79+C81)-(E77+E79+E81)</f>
        <v>0</v>
      </c>
      <c r="K77" s="85" t="str">
        <f>IF(J77&gt;0,"WARNING: IS subsidizing OS","Compliant")</f>
        <v>Compliant</v>
      </c>
    </row>
    <row r="78" spans="1:11" ht="15" x14ac:dyDescent="0.2">
      <c r="A78" s="34" t="s">
        <v>103</v>
      </c>
      <c r="B78" s="37">
        <f>+'2-Revenue'!K8</f>
        <v>17028186</v>
      </c>
      <c r="C78" s="395">
        <v>478066</v>
      </c>
      <c r="D78" s="83">
        <f t="shared" si="22"/>
        <v>2.8074981093112326E-2</v>
      </c>
      <c r="E78" s="395">
        <v>478066</v>
      </c>
      <c r="F78" s="395">
        <v>209802</v>
      </c>
      <c r="G78" s="395">
        <v>540836</v>
      </c>
      <c r="H78" s="92">
        <f t="shared" ref="H78:H82" si="23">B78+F78+G78</f>
        <v>17778824</v>
      </c>
      <c r="I78" s="148">
        <f t="shared" ref="I78:I83" si="24">IF(H78=0,"%",(F78+G78)/H78)</f>
        <v>4.222090279987023E-2</v>
      </c>
    </row>
    <row r="79" spans="1:11" ht="15" x14ac:dyDescent="0.2">
      <c r="A79" s="34" t="s">
        <v>104</v>
      </c>
      <c r="B79" s="37">
        <f>+'2-Revenue'!K9</f>
        <v>24191495</v>
      </c>
      <c r="C79" s="395">
        <v>93780</v>
      </c>
      <c r="D79" s="83">
        <f t="shared" si="22"/>
        <v>3.8765690173343981E-3</v>
      </c>
      <c r="E79" s="395">
        <v>93780</v>
      </c>
      <c r="F79" s="395">
        <v>2034551</v>
      </c>
      <c r="G79" s="395">
        <v>2123546</v>
      </c>
      <c r="H79" s="92">
        <f t="shared" si="23"/>
        <v>28349592</v>
      </c>
      <c r="I79" s="148">
        <f t="shared" si="24"/>
        <v>0.14667219902141801</v>
      </c>
    </row>
    <row r="80" spans="1:11" ht="15" x14ac:dyDescent="0.2">
      <c r="A80" s="34" t="s">
        <v>105</v>
      </c>
      <c r="B80" s="37">
        <f>+'2-Revenue'!K10</f>
        <v>5336168</v>
      </c>
      <c r="C80" s="395">
        <v>40854</v>
      </c>
      <c r="D80" s="83">
        <f t="shared" si="22"/>
        <v>7.6560558063389307E-3</v>
      </c>
      <c r="E80" s="395">
        <v>40854</v>
      </c>
      <c r="F80" s="395">
        <v>5389217</v>
      </c>
      <c r="G80" s="395">
        <v>21921</v>
      </c>
      <c r="H80" s="92">
        <f t="shared" si="23"/>
        <v>10747306</v>
      </c>
      <c r="I80" s="148">
        <f t="shared" si="24"/>
        <v>0.50348785081582303</v>
      </c>
    </row>
    <row r="81" spans="1:10" ht="15" x14ac:dyDescent="0.2">
      <c r="A81" s="34" t="s">
        <v>145</v>
      </c>
      <c r="B81" s="38">
        <f>+SUM('2-Revenue'!K11+'2-Revenue'!K13+'2-Revenue'!K15+'2-Revenue'!K17+'2-Revenue'!K19)</f>
        <v>0</v>
      </c>
      <c r="C81" s="33">
        <f>0</f>
        <v>0</v>
      </c>
      <c r="D81" s="83" t="str">
        <f t="shared" si="22"/>
        <v>%</v>
      </c>
      <c r="E81" s="33">
        <f>0</f>
        <v>0</v>
      </c>
      <c r="F81" s="33">
        <f>0</f>
        <v>0</v>
      </c>
      <c r="G81" s="33">
        <f>0</f>
        <v>0</v>
      </c>
      <c r="H81" s="92">
        <f t="shared" si="23"/>
        <v>0</v>
      </c>
      <c r="I81" s="148" t="str">
        <f t="shared" si="24"/>
        <v>%</v>
      </c>
    </row>
    <row r="82" spans="1:10" ht="15.75" thickBot="1" x14ac:dyDescent="0.25">
      <c r="A82" s="35" t="s">
        <v>146</v>
      </c>
      <c r="B82" s="38">
        <f>+SUM('2-Revenue'!K12+'2-Revenue'!K14+'2-Revenue'!K16+'2-Revenue'!K18+'2-Revenue'!K20)</f>
        <v>0</v>
      </c>
      <c r="C82" s="33">
        <f>0</f>
        <v>0</v>
      </c>
      <c r="D82" s="83" t="str">
        <f t="shared" si="22"/>
        <v>%</v>
      </c>
      <c r="E82" s="33">
        <f>0</f>
        <v>0</v>
      </c>
      <c r="F82" s="33">
        <f>0</f>
        <v>0</v>
      </c>
      <c r="G82" s="33">
        <f>0</f>
        <v>0</v>
      </c>
      <c r="H82" s="93">
        <f t="shared" si="23"/>
        <v>0</v>
      </c>
      <c r="I82" s="148" t="str">
        <f t="shared" si="24"/>
        <v>%</v>
      </c>
    </row>
    <row r="83" spans="1:10" ht="15.75" thickBot="1" x14ac:dyDescent="0.25">
      <c r="A83" s="36" t="s">
        <v>147</v>
      </c>
      <c r="B83" s="41">
        <f>SUM(B77:B82)</f>
        <v>147447684</v>
      </c>
      <c r="C83" s="41">
        <f t="shared" ref="C83" si="25">SUM(C77:C82)</f>
        <v>3327518</v>
      </c>
      <c r="D83" s="87">
        <f t="shared" si="22"/>
        <v>2.2567448397493989E-2</v>
      </c>
      <c r="E83" s="41">
        <f t="shared" ref="E83:H83" si="26">SUM(E77:E82)</f>
        <v>3327518</v>
      </c>
      <c r="F83" s="39">
        <f t="shared" si="26"/>
        <v>7800001</v>
      </c>
      <c r="G83" s="39">
        <f t="shared" si="26"/>
        <v>17986573</v>
      </c>
      <c r="H83" s="90">
        <f t="shared" si="26"/>
        <v>173234258</v>
      </c>
      <c r="I83" s="149">
        <f t="shared" si="24"/>
        <v>0.14885377925652557</v>
      </c>
      <c r="J83" s="88"/>
    </row>
    <row r="84" spans="1:10" ht="15" x14ac:dyDescent="0.2">
      <c r="A84" s="164"/>
      <c r="B84" s="165"/>
      <c r="C84" s="165"/>
      <c r="D84" s="166"/>
      <c r="E84" s="165"/>
      <c r="F84" s="167"/>
      <c r="G84" s="167"/>
      <c r="H84" s="167"/>
      <c r="I84" s="168"/>
      <c r="J84" s="88"/>
    </row>
    <row r="85" spans="1:10" ht="15.75" x14ac:dyDescent="0.2">
      <c r="A85" s="455" t="s">
        <v>153</v>
      </c>
      <c r="B85" s="455"/>
      <c r="C85" s="455"/>
      <c r="D85" s="455"/>
      <c r="E85" s="455"/>
      <c r="F85" s="455"/>
      <c r="G85" s="455"/>
      <c r="H85" s="455"/>
      <c r="I85" s="147"/>
      <c r="J85" s="88"/>
    </row>
    <row r="86" spans="1:10" ht="12.75" customHeight="1" x14ac:dyDescent="0.2">
      <c r="A86" s="469" t="s">
        <v>134</v>
      </c>
      <c r="B86" s="465" t="s">
        <v>135</v>
      </c>
      <c r="C86" s="465" t="s">
        <v>136</v>
      </c>
      <c r="D86" s="471" t="s">
        <v>137</v>
      </c>
      <c r="E86" s="465" t="s">
        <v>138</v>
      </c>
      <c r="F86" s="465" t="s">
        <v>139</v>
      </c>
      <c r="G86" s="465" t="s">
        <v>140</v>
      </c>
      <c r="H86" s="466" t="s">
        <v>141</v>
      </c>
      <c r="I86" s="462" t="s">
        <v>142</v>
      </c>
      <c r="J86" s="88"/>
    </row>
    <row r="87" spans="1:10" ht="12.75" customHeight="1" x14ac:dyDescent="0.2">
      <c r="A87" s="469"/>
      <c r="B87" s="466"/>
      <c r="C87" s="466"/>
      <c r="D87" s="471"/>
      <c r="E87" s="466"/>
      <c r="F87" s="466"/>
      <c r="G87" s="466"/>
      <c r="H87" s="466"/>
      <c r="I87" s="463"/>
      <c r="J87" s="88"/>
    </row>
    <row r="88" spans="1:10" ht="12.75" customHeight="1" x14ac:dyDescent="0.2">
      <c r="A88" s="469"/>
      <c r="B88" s="467"/>
      <c r="C88" s="467"/>
      <c r="D88" s="471"/>
      <c r="E88" s="467"/>
      <c r="F88" s="467"/>
      <c r="G88" s="467"/>
      <c r="H88" s="467"/>
      <c r="I88" s="463"/>
      <c r="J88" s="88"/>
    </row>
    <row r="89" spans="1:10" ht="21.75" customHeight="1" thickBot="1" x14ac:dyDescent="0.25">
      <c r="A89" s="470"/>
      <c r="B89" s="468"/>
      <c r="C89" s="468"/>
      <c r="D89" s="472"/>
      <c r="E89" s="468"/>
      <c r="F89" s="468"/>
      <c r="G89" s="468"/>
      <c r="H89" s="468"/>
      <c r="I89" s="464"/>
      <c r="J89" s="88"/>
    </row>
    <row r="90" spans="1:10" ht="15" x14ac:dyDescent="0.2">
      <c r="A90" s="32" t="s">
        <v>102</v>
      </c>
      <c r="B90" s="37">
        <f>+'2-Revenue'!M7</f>
        <v>99136791</v>
      </c>
      <c r="C90" s="395">
        <v>2714818</v>
      </c>
      <c r="D90" s="83">
        <f t="shared" ref="D90:D96" si="27">IF(C90=0,"%",C90/B90)</f>
        <v>2.7384566038656629E-2</v>
      </c>
      <c r="E90" s="395">
        <v>2714818</v>
      </c>
      <c r="F90" s="395">
        <v>163536</v>
      </c>
      <c r="G90" s="395">
        <v>15034117</v>
      </c>
      <c r="H90" s="91">
        <f>B90+F90+G90</f>
        <v>114334444</v>
      </c>
      <c r="I90" s="148">
        <f>IF(H90=0,"%",(F90+G90)/H90)</f>
        <v>0.13292278746726577</v>
      </c>
      <c r="J90" s="88"/>
    </row>
    <row r="91" spans="1:10" ht="15" x14ac:dyDescent="0.2">
      <c r="A91" s="34" t="s">
        <v>103</v>
      </c>
      <c r="B91" s="37">
        <f>+'2-Revenue'!M8</f>
        <v>16434595</v>
      </c>
      <c r="C91" s="395">
        <v>478066</v>
      </c>
      <c r="D91" s="83">
        <f t="shared" si="27"/>
        <v>2.9089004018656984E-2</v>
      </c>
      <c r="E91" s="395">
        <v>478066</v>
      </c>
      <c r="F91" s="395">
        <v>202489</v>
      </c>
      <c r="G91" s="395">
        <v>521983</v>
      </c>
      <c r="H91" s="92">
        <f t="shared" ref="H91:H95" si="28">B91+F91+G91</f>
        <v>17159067</v>
      </c>
      <c r="I91" s="148">
        <f t="shared" ref="I91:I96" si="29">IF(H91=0,"%",(F91+G91)/H91)</f>
        <v>4.2220943597924061E-2</v>
      </c>
      <c r="J91" s="88"/>
    </row>
    <row r="92" spans="1:10" ht="15" x14ac:dyDescent="0.2">
      <c r="A92" s="34" t="s">
        <v>104</v>
      </c>
      <c r="B92" s="37">
        <f>+'2-Revenue'!M9</f>
        <v>24409833</v>
      </c>
      <c r="C92" s="395">
        <v>93780</v>
      </c>
      <c r="D92" s="83">
        <f t="shared" si="27"/>
        <v>3.8418943710102401E-3</v>
      </c>
      <c r="E92" s="395">
        <v>93780</v>
      </c>
      <c r="F92" s="395">
        <v>2052913</v>
      </c>
      <c r="G92" s="395">
        <v>2142712</v>
      </c>
      <c r="H92" s="92">
        <f t="shared" si="28"/>
        <v>28605458</v>
      </c>
      <c r="I92" s="148">
        <f t="shared" si="29"/>
        <v>0.14667218402865634</v>
      </c>
      <c r="J92" s="88"/>
    </row>
    <row r="93" spans="1:10" ht="15" x14ac:dyDescent="0.2">
      <c r="A93" s="34" t="s">
        <v>105</v>
      </c>
      <c r="B93" s="37">
        <f>+'2-Revenue'!M10</f>
        <v>5085560</v>
      </c>
      <c r="C93" s="395">
        <v>40854</v>
      </c>
      <c r="D93" s="83">
        <f t="shared" si="27"/>
        <v>8.0333335955135726E-3</v>
      </c>
      <c r="E93" s="395">
        <v>40854</v>
      </c>
      <c r="F93" s="395">
        <v>5136117</v>
      </c>
      <c r="G93" s="395">
        <v>20892</v>
      </c>
      <c r="H93" s="92">
        <f t="shared" si="28"/>
        <v>10242569</v>
      </c>
      <c r="I93" s="148">
        <f t="shared" si="29"/>
        <v>0.50348784567621663</v>
      </c>
      <c r="J93" s="88"/>
    </row>
    <row r="94" spans="1:10" ht="15" x14ac:dyDescent="0.2">
      <c r="A94" s="34" t="s">
        <v>145</v>
      </c>
      <c r="B94" s="38">
        <f>+SUM('2-Revenue'!M11+'2-Revenue'!M13+'2-Revenue'!M15+'2-Revenue'!M17+'2-Revenue'!M19)</f>
        <v>0</v>
      </c>
      <c r="C94" s="33">
        <f>0</f>
        <v>0</v>
      </c>
      <c r="D94" s="83" t="str">
        <f t="shared" si="27"/>
        <v>%</v>
      </c>
      <c r="E94" s="33">
        <f>0</f>
        <v>0</v>
      </c>
      <c r="F94" s="33">
        <f>0</f>
        <v>0</v>
      </c>
      <c r="G94" s="33">
        <f>0</f>
        <v>0</v>
      </c>
      <c r="H94" s="92">
        <f t="shared" si="28"/>
        <v>0</v>
      </c>
      <c r="I94" s="148" t="str">
        <f t="shared" si="29"/>
        <v>%</v>
      </c>
      <c r="J94" s="88"/>
    </row>
    <row r="95" spans="1:10" ht="15.75" thickBot="1" x14ac:dyDescent="0.25">
      <c r="A95" s="35" t="s">
        <v>146</v>
      </c>
      <c r="B95" s="38">
        <f>+SUM('2-Revenue'!M12+'2-Revenue'!M14+'2-Revenue'!M16+'2-Revenue'!M18+'2-Revenue'!M20)</f>
        <v>0</v>
      </c>
      <c r="C95" s="33">
        <f>0</f>
        <v>0</v>
      </c>
      <c r="D95" s="83" t="str">
        <f t="shared" si="27"/>
        <v>%</v>
      </c>
      <c r="E95" s="33">
        <f>0</f>
        <v>0</v>
      </c>
      <c r="F95" s="33">
        <f>0</f>
        <v>0</v>
      </c>
      <c r="G95" s="33">
        <f>0</f>
        <v>0</v>
      </c>
      <c r="H95" s="93">
        <f t="shared" si="28"/>
        <v>0</v>
      </c>
      <c r="I95" s="148" t="str">
        <f t="shared" si="29"/>
        <v>%</v>
      </c>
      <c r="J95" s="88"/>
    </row>
    <row r="96" spans="1:10" ht="15.75" thickBot="1" x14ac:dyDescent="0.25">
      <c r="A96" s="36" t="s">
        <v>147</v>
      </c>
      <c r="B96" s="41">
        <f>SUM(B90:B95)</f>
        <v>145066779</v>
      </c>
      <c r="C96" s="41">
        <f t="shared" ref="C96" si="30">SUM(C90:C95)</f>
        <v>3327518</v>
      </c>
      <c r="D96" s="87">
        <f t="shared" si="27"/>
        <v>2.2937836098228942E-2</v>
      </c>
      <c r="E96" s="41">
        <f t="shared" ref="E96:H96" si="31">SUM(E90:E95)</f>
        <v>3327518</v>
      </c>
      <c r="F96" s="39">
        <f t="shared" si="31"/>
        <v>7555055</v>
      </c>
      <c r="G96" s="39">
        <f t="shared" si="31"/>
        <v>17719704</v>
      </c>
      <c r="H96" s="90">
        <f t="shared" si="31"/>
        <v>170341538</v>
      </c>
      <c r="I96" s="149">
        <f t="shared" si="29"/>
        <v>0.14837695665281594</v>
      </c>
      <c r="J96" s="88"/>
    </row>
    <row r="97" spans="1:10" ht="15" x14ac:dyDescent="0.2">
      <c r="A97" s="164"/>
      <c r="B97" s="165"/>
      <c r="C97" s="165"/>
      <c r="D97" s="166"/>
      <c r="E97" s="165"/>
      <c r="F97" s="167"/>
      <c r="G97" s="167"/>
      <c r="H97" s="167"/>
      <c r="I97" s="168"/>
      <c r="J97" s="88"/>
    </row>
    <row r="98" spans="1:10" ht="15.75" x14ac:dyDescent="0.2">
      <c r="A98" s="478" t="s">
        <v>154</v>
      </c>
      <c r="B98" s="479"/>
      <c r="C98" s="479"/>
      <c r="D98" s="479"/>
      <c r="E98" s="479"/>
      <c r="F98" s="479"/>
      <c r="G98" s="479"/>
      <c r="H98" s="480"/>
      <c r="I98" s="147"/>
      <c r="J98" s="88"/>
    </row>
    <row r="99" spans="1:10" ht="12.75" customHeight="1" x14ac:dyDescent="0.2">
      <c r="A99" s="467" t="s">
        <v>134</v>
      </c>
      <c r="B99" s="467" t="s">
        <v>135</v>
      </c>
      <c r="C99" s="467" t="s">
        <v>136</v>
      </c>
      <c r="D99" s="467" t="s">
        <v>137</v>
      </c>
      <c r="E99" s="467" t="s">
        <v>138</v>
      </c>
      <c r="F99" s="467" t="s">
        <v>139</v>
      </c>
      <c r="G99" s="467" t="s">
        <v>140</v>
      </c>
      <c r="H99" s="467" t="s">
        <v>141</v>
      </c>
      <c r="I99" s="462" t="s">
        <v>142</v>
      </c>
      <c r="J99" s="88"/>
    </row>
    <row r="100" spans="1:10" ht="12.75" customHeight="1" x14ac:dyDescent="0.2">
      <c r="A100" s="471"/>
      <c r="B100" s="471"/>
      <c r="C100" s="471"/>
      <c r="D100" s="471"/>
      <c r="E100" s="471"/>
      <c r="F100" s="471"/>
      <c r="G100" s="471"/>
      <c r="H100" s="471"/>
      <c r="I100" s="463"/>
      <c r="J100" s="88"/>
    </row>
    <row r="101" spans="1:10" ht="12.75" customHeight="1" x14ac:dyDescent="0.2">
      <c r="A101" s="471"/>
      <c r="B101" s="471"/>
      <c r="C101" s="471"/>
      <c r="D101" s="471"/>
      <c r="E101" s="471"/>
      <c r="F101" s="471"/>
      <c r="G101" s="471"/>
      <c r="H101" s="471"/>
      <c r="I101" s="463"/>
      <c r="J101" s="88"/>
    </row>
    <row r="102" spans="1:10" ht="22.5" customHeight="1" thickBot="1" x14ac:dyDescent="0.25">
      <c r="A102" s="472"/>
      <c r="B102" s="472"/>
      <c r="C102" s="472"/>
      <c r="D102" s="472"/>
      <c r="E102" s="472"/>
      <c r="F102" s="472"/>
      <c r="G102" s="472"/>
      <c r="H102" s="472"/>
      <c r="I102" s="464"/>
      <c r="J102" s="88"/>
    </row>
    <row r="103" spans="1:10" ht="15" x14ac:dyDescent="0.2">
      <c r="A103" s="32" t="s">
        <v>102</v>
      </c>
      <c r="B103" s="37">
        <f>+'2-Revenue'!O7</f>
        <v>99136791</v>
      </c>
      <c r="C103" s="395">
        <v>2714818</v>
      </c>
      <c r="D103" s="83">
        <f t="shared" ref="D103:D109" si="32">IF(C103=0,"%",C103/B103)</f>
        <v>2.7384566038656629E-2</v>
      </c>
      <c r="E103" s="395">
        <v>2714818</v>
      </c>
      <c r="F103" s="395">
        <v>163536</v>
      </c>
      <c r="G103" s="395">
        <v>15034117</v>
      </c>
      <c r="H103" s="91">
        <f>B103+F103+G103</f>
        <v>114334444</v>
      </c>
      <c r="I103" s="148">
        <f>IF(H103=0,"%",(F103+G103)/H103)</f>
        <v>0.13292278746726577</v>
      </c>
      <c r="J103" s="88"/>
    </row>
    <row r="104" spans="1:10" ht="15" x14ac:dyDescent="0.2">
      <c r="A104" s="34" t="s">
        <v>103</v>
      </c>
      <c r="B104" s="37">
        <f>+'2-Revenue'!O8</f>
        <v>16434595</v>
      </c>
      <c r="C104" s="395">
        <v>478066</v>
      </c>
      <c r="D104" s="83">
        <f t="shared" si="32"/>
        <v>2.9089004018656984E-2</v>
      </c>
      <c r="E104" s="395">
        <v>478066</v>
      </c>
      <c r="F104" s="395">
        <v>202489</v>
      </c>
      <c r="G104" s="395">
        <v>521983</v>
      </c>
      <c r="H104" s="92">
        <f t="shared" ref="H104:H108" si="33">B104+F104+G104</f>
        <v>17159067</v>
      </c>
      <c r="I104" s="148">
        <f t="shared" ref="I104:I109" si="34">IF(H104=0,"%",(F104+G104)/H104)</f>
        <v>4.2220943597924061E-2</v>
      </c>
      <c r="J104" s="88"/>
    </row>
    <row r="105" spans="1:10" ht="15" x14ac:dyDescent="0.2">
      <c r="A105" s="34" t="s">
        <v>104</v>
      </c>
      <c r="B105" s="37">
        <f>+'2-Revenue'!O9</f>
        <v>24409833</v>
      </c>
      <c r="C105" s="395">
        <v>93780</v>
      </c>
      <c r="D105" s="83">
        <f t="shared" si="32"/>
        <v>3.8418943710102401E-3</v>
      </c>
      <c r="E105" s="395">
        <v>93780</v>
      </c>
      <c r="F105" s="395">
        <v>2052913</v>
      </c>
      <c r="G105" s="395">
        <v>2142712</v>
      </c>
      <c r="H105" s="92">
        <f t="shared" si="33"/>
        <v>28605458</v>
      </c>
      <c r="I105" s="148">
        <f t="shared" si="34"/>
        <v>0.14667218402865634</v>
      </c>
      <c r="J105" s="88"/>
    </row>
    <row r="106" spans="1:10" ht="15" x14ac:dyDescent="0.2">
      <c r="A106" s="34" t="s">
        <v>105</v>
      </c>
      <c r="B106" s="37">
        <f>+'2-Revenue'!O10</f>
        <v>5085560</v>
      </c>
      <c r="C106" s="395">
        <v>40854</v>
      </c>
      <c r="D106" s="83">
        <f t="shared" si="32"/>
        <v>8.0333335955135726E-3</v>
      </c>
      <c r="E106" s="395">
        <v>40854</v>
      </c>
      <c r="F106" s="395">
        <v>5136117</v>
      </c>
      <c r="G106" s="395">
        <v>20892</v>
      </c>
      <c r="H106" s="92">
        <f t="shared" si="33"/>
        <v>10242569</v>
      </c>
      <c r="I106" s="148">
        <f t="shared" si="34"/>
        <v>0.50348784567621663</v>
      </c>
      <c r="J106" s="88"/>
    </row>
    <row r="107" spans="1:10" ht="15" x14ac:dyDescent="0.2">
      <c r="A107" s="34" t="s">
        <v>145</v>
      </c>
      <c r="B107" s="38">
        <f>+SUM('2-Revenue'!O11+'2-Revenue'!O13+'2-Revenue'!O15+'2-Revenue'!O17+'2-Revenue'!O19)</f>
        <v>0</v>
      </c>
      <c r="C107" s="33">
        <f>0</f>
        <v>0</v>
      </c>
      <c r="D107" s="83" t="str">
        <f t="shared" si="32"/>
        <v>%</v>
      </c>
      <c r="E107" s="33">
        <f>0</f>
        <v>0</v>
      </c>
      <c r="F107" s="33">
        <f>0</f>
        <v>0</v>
      </c>
      <c r="G107" s="33">
        <f>0</f>
        <v>0</v>
      </c>
      <c r="H107" s="92">
        <f t="shared" si="33"/>
        <v>0</v>
      </c>
      <c r="I107" s="148" t="str">
        <f t="shared" si="34"/>
        <v>%</v>
      </c>
      <c r="J107" s="88"/>
    </row>
    <row r="108" spans="1:10" ht="15.75" thickBot="1" x14ac:dyDescent="0.25">
      <c r="A108" s="35" t="s">
        <v>146</v>
      </c>
      <c r="B108" s="38">
        <f>+SUM('2-Revenue'!O12+'2-Revenue'!O14+'2-Revenue'!O16+'2-Revenue'!O18+'2-Revenue'!O20)</f>
        <v>0</v>
      </c>
      <c r="C108" s="33">
        <f>0</f>
        <v>0</v>
      </c>
      <c r="D108" s="83" t="str">
        <f t="shared" si="32"/>
        <v>%</v>
      </c>
      <c r="E108" s="33">
        <f>0</f>
        <v>0</v>
      </c>
      <c r="F108" s="33">
        <f>0</f>
        <v>0</v>
      </c>
      <c r="G108" s="33">
        <f>0</f>
        <v>0</v>
      </c>
      <c r="H108" s="93">
        <f t="shared" si="33"/>
        <v>0</v>
      </c>
      <c r="I108" s="148" t="str">
        <f t="shared" si="34"/>
        <v>%</v>
      </c>
      <c r="J108" s="88"/>
    </row>
    <row r="109" spans="1:10" ht="15.75" thickBot="1" x14ac:dyDescent="0.25">
      <c r="A109" s="36" t="s">
        <v>147</v>
      </c>
      <c r="B109" s="41">
        <f>SUM(B103:B108)</f>
        <v>145066779</v>
      </c>
      <c r="C109" s="41">
        <f t="shared" ref="C109" si="35">SUM(C103:C108)</f>
        <v>3327518</v>
      </c>
      <c r="D109" s="87">
        <f t="shared" si="32"/>
        <v>2.2937836098228942E-2</v>
      </c>
      <c r="E109" s="41">
        <f t="shared" ref="E109:H109" si="36">SUM(E103:E108)</f>
        <v>3327518</v>
      </c>
      <c r="F109" s="39">
        <f t="shared" si="36"/>
        <v>7555055</v>
      </c>
      <c r="G109" s="39">
        <f t="shared" si="36"/>
        <v>17719704</v>
      </c>
      <c r="H109" s="90">
        <f t="shared" si="36"/>
        <v>170341538</v>
      </c>
      <c r="I109" s="149">
        <f t="shared" si="34"/>
        <v>0.14837695665281594</v>
      </c>
      <c r="J109" s="88"/>
    </row>
    <row r="111" spans="1:10" ht="72.75" customHeight="1" x14ac:dyDescent="0.2">
      <c r="A111" s="477" t="s">
        <v>155</v>
      </c>
      <c r="B111" s="477"/>
      <c r="C111" s="477"/>
      <c r="D111" s="477"/>
      <c r="E111" s="477"/>
      <c r="F111" s="477"/>
      <c r="G111" s="477"/>
      <c r="H111" s="477"/>
      <c r="I111" s="151"/>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topLeftCell="A20" zoomScale="75" zoomScaleNormal="75" workbookViewId="0">
      <selection activeCell="I32" sqref="I32:J32"/>
    </sheetView>
  </sheetViews>
  <sheetFormatPr defaultColWidth="9.140625" defaultRowHeight="12.75" x14ac:dyDescent="0.2"/>
  <cols>
    <col min="1" max="1" width="9.85546875" style="102" customWidth="1"/>
    <col min="2" max="2" width="7.140625" style="102" customWidth="1"/>
    <col min="3" max="3" width="51.7109375" style="329" customWidth="1"/>
    <col min="4" max="4" width="18.5703125" style="102" customWidth="1"/>
    <col min="5" max="5" width="15.42578125" style="102" customWidth="1"/>
    <col min="6" max="7" width="18.5703125" style="102" customWidth="1"/>
    <col min="8" max="8" width="21.85546875" style="102" customWidth="1"/>
    <col min="9" max="9" width="18.42578125" style="102" customWidth="1"/>
    <col min="10" max="11" width="20.28515625" style="102" customWidth="1"/>
    <col min="12" max="12" width="22.140625" style="102" customWidth="1"/>
    <col min="13" max="13" width="14.42578125" style="102" bestFit="1" customWidth="1"/>
    <col min="14" max="15" width="20.28515625" style="102" customWidth="1"/>
    <col min="16" max="16" width="18.140625" style="102" customWidth="1"/>
    <col min="17" max="17" width="193.28515625" style="102" bestFit="1" customWidth="1"/>
    <col min="18" max="16384" width="9.140625" style="102"/>
  </cols>
  <sheetData>
    <row r="1" spans="1:17" ht="20.100000000000001" customHeight="1" x14ac:dyDescent="0.2">
      <c r="A1" s="188" t="s">
        <v>156</v>
      </c>
      <c r="B1" s="188"/>
      <c r="C1" s="319"/>
      <c r="D1" s="188"/>
      <c r="E1" s="188"/>
      <c r="F1" s="188"/>
      <c r="G1" s="188"/>
      <c r="H1" s="188"/>
      <c r="I1" s="188"/>
      <c r="J1" s="188"/>
      <c r="K1" s="188"/>
      <c r="L1" s="188"/>
      <c r="M1" s="188"/>
      <c r="N1" s="188"/>
      <c r="O1" s="188"/>
    </row>
    <row r="2" spans="1:17" ht="20.100000000000001" customHeight="1" x14ac:dyDescent="0.2">
      <c r="A2" s="485" t="str">
        <f>'Institution ID'!C3</f>
        <v>Old Dominion University</v>
      </c>
      <c r="B2" s="485"/>
      <c r="C2" s="485"/>
      <c r="D2" s="485"/>
      <c r="E2" s="485"/>
      <c r="F2" s="485"/>
      <c r="G2" s="485"/>
      <c r="H2" s="485"/>
      <c r="I2" s="485"/>
      <c r="J2" s="485"/>
      <c r="K2" s="383"/>
      <c r="L2" s="383"/>
      <c r="M2" s="383"/>
      <c r="N2" s="383"/>
      <c r="O2" s="383"/>
    </row>
    <row r="3" spans="1:17" ht="297.75" customHeight="1" x14ac:dyDescent="0.2">
      <c r="A3" s="486" t="s">
        <v>371</v>
      </c>
      <c r="B3" s="487"/>
      <c r="C3" s="487"/>
      <c r="D3" s="487"/>
      <c r="E3" s="487"/>
      <c r="F3" s="487"/>
      <c r="G3" s="487"/>
      <c r="H3" s="487"/>
      <c r="I3" s="487"/>
      <c r="J3" s="487"/>
      <c r="K3" s="487"/>
      <c r="L3" s="487"/>
      <c r="M3" s="487"/>
      <c r="N3" s="487"/>
      <c r="O3" s="487"/>
      <c r="P3" s="487"/>
      <c r="Q3" s="487"/>
    </row>
    <row r="4" spans="1:17" ht="30.75" customHeight="1" x14ac:dyDescent="0.2">
      <c r="A4" s="384"/>
      <c r="B4" s="488" t="s">
        <v>157</v>
      </c>
      <c r="C4" s="488"/>
      <c r="D4" s="488"/>
      <c r="E4" s="384"/>
      <c r="F4" s="384"/>
      <c r="G4" s="384"/>
      <c r="H4" s="331" t="s">
        <v>158</v>
      </c>
      <c r="I4" s="384"/>
      <c r="J4" s="384"/>
      <c r="K4" s="384"/>
      <c r="L4" s="331" t="s">
        <v>159</v>
      </c>
      <c r="M4" s="384"/>
      <c r="N4" s="384"/>
      <c r="O4" s="384"/>
      <c r="P4" s="384"/>
      <c r="Q4" s="384"/>
    </row>
    <row r="5" spans="1:17" ht="20.100000000000001" customHeight="1" x14ac:dyDescent="0.2">
      <c r="A5" s="216"/>
      <c r="B5" s="194" t="s">
        <v>160</v>
      </c>
      <c r="C5" s="320"/>
      <c r="D5" s="396">
        <v>354413989</v>
      </c>
      <c r="E5" s="187"/>
      <c r="F5" s="187"/>
      <c r="G5" s="187"/>
      <c r="H5" s="332" t="s">
        <v>161</v>
      </c>
      <c r="I5" s="187"/>
      <c r="J5" s="187"/>
      <c r="K5" s="187"/>
      <c r="L5" s="332" t="s">
        <v>161</v>
      </c>
      <c r="M5" s="187"/>
      <c r="N5" s="187"/>
      <c r="O5" s="187"/>
      <c r="P5" s="187"/>
    </row>
    <row r="6" spans="1:17" ht="20.100000000000001" customHeight="1" x14ac:dyDescent="0.2">
      <c r="A6" s="216"/>
      <c r="B6" s="195" t="s">
        <v>162</v>
      </c>
      <c r="C6" s="321"/>
      <c r="D6" s="397">
        <v>351071845</v>
      </c>
      <c r="E6" s="187"/>
      <c r="F6" s="187"/>
      <c r="G6" s="187"/>
      <c r="H6" s="330">
        <f>IFERROR(SUM(H12:H17,H19)/SUM(E12:E17,E19),"%")</f>
        <v>0.56299994035818701</v>
      </c>
      <c r="I6" s="187"/>
      <c r="J6" s="187"/>
      <c r="K6" s="187"/>
      <c r="L6" s="330">
        <f>IFERROR(SUM(L12:L17,L19)/SUM(I12:I17,I19),"%")</f>
        <v>0.56300003308010116</v>
      </c>
      <c r="M6" s="187"/>
      <c r="N6" s="187"/>
      <c r="O6" s="187"/>
      <c r="P6" s="187"/>
    </row>
    <row r="7" spans="1:17" ht="20.100000000000001" customHeight="1" x14ac:dyDescent="0.2">
      <c r="A7" s="216"/>
      <c r="B7" s="189"/>
      <c r="C7" s="322"/>
      <c r="D7" s="190"/>
      <c r="E7" s="187"/>
      <c r="F7" s="187"/>
      <c r="G7" s="187"/>
      <c r="H7" s="333"/>
      <c r="I7" s="187"/>
      <c r="J7" s="187"/>
      <c r="K7" s="187"/>
      <c r="L7" s="333"/>
      <c r="M7" s="187"/>
      <c r="N7" s="187"/>
      <c r="O7" s="187"/>
      <c r="P7" s="187"/>
    </row>
    <row r="8" spans="1:17" ht="20.100000000000001" customHeight="1" x14ac:dyDescent="0.2">
      <c r="A8" s="216"/>
      <c r="B8" s="189"/>
      <c r="C8" s="322"/>
      <c r="D8" s="190"/>
      <c r="E8" s="494" t="s">
        <v>163</v>
      </c>
      <c r="F8" s="495"/>
      <c r="G8" s="495"/>
      <c r="H8" s="495"/>
      <c r="I8" s="495"/>
      <c r="J8" s="495"/>
      <c r="K8" s="495"/>
      <c r="L8" s="495"/>
      <c r="M8" s="495"/>
      <c r="N8" s="495"/>
      <c r="O8" s="495"/>
      <c r="P8" s="496"/>
    </row>
    <row r="9" spans="1:17" ht="16.5" customHeight="1" x14ac:dyDescent="0.2">
      <c r="A9" s="217"/>
      <c r="B9" s="483"/>
      <c r="C9" s="484"/>
      <c r="D9" s="218"/>
      <c r="E9" s="489" t="s">
        <v>164</v>
      </c>
      <c r="F9" s="490"/>
      <c r="G9" s="490"/>
      <c r="H9" s="491"/>
      <c r="I9" s="489" t="s">
        <v>165</v>
      </c>
      <c r="J9" s="490"/>
      <c r="K9" s="490"/>
      <c r="L9" s="491"/>
      <c r="M9" s="206" t="s">
        <v>166</v>
      </c>
      <c r="N9" s="206" t="s">
        <v>167</v>
      </c>
      <c r="O9" s="206" t="s">
        <v>168</v>
      </c>
      <c r="P9" s="206" t="s">
        <v>169</v>
      </c>
      <c r="Q9" s="492" t="s">
        <v>170</v>
      </c>
    </row>
    <row r="10" spans="1:17" ht="60.75" customHeight="1" x14ac:dyDescent="0.2">
      <c r="A10" s="217"/>
      <c r="B10" s="219"/>
      <c r="C10" s="323" t="s">
        <v>171</v>
      </c>
      <c r="D10" s="206"/>
      <c r="E10" s="207" t="s">
        <v>172</v>
      </c>
      <c r="F10" s="208" t="s">
        <v>173</v>
      </c>
      <c r="G10" s="208" t="s">
        <v>174</v>
      </c>
      <c r="H10" s="209" t="s">
        <v>175</v>
      </c>
      <c r="I10" s="207" t="s">
        <v>172</v>
      </c>
      <c r="J10" s="208" t="s">
        <v>173</v>
      </c>
      <c r="K10" s="208" t="s">
        <v>174</v>
      </c>
      <c r="L10" s="209" t="s">
        <v>175</v>
      </c>
      <c r="M10" s="206" t="s">
        <v>176</v>
      </c>
      <c r="N10" s="206" t="s">
        <v>176</v>
      </c>
      <c r="O10" s="206" t="s">
        <v>176</v>
      </c>
      <c r="P10" s="206" t="s">
        <v>176</v>
      </c>
      <c r="Q10" s="493"/>
    </row>
    <row r="11" spans="1:17" ht="15.75" x14ac:dyDescent="0.2">
      <c r="A11" s="217"/>
      <c r="B11" s="220" t="s">
        <v>177</v>
      </c>
      <c r="C11" s="324"/>
      <c r="D11" s="198"/>
      <c r="E11" s="201"/>
      <c r="F11" s="196"/>
      <c r="G11" s="196"/>
      <c r="H11" s="202"/>
      <c r="I11" s="201"/>
      <c r="J11" s="196"/>
      <c r="K11" s="196"/>
      <c r="L11" s="202"/>
      <c r="M11" s="198"/>
      <c r="N11" s="198"/>
      <c r="O11" s="198"/>
      <c r="P11" s="198"/>
      <c r="Q11" s="221"/>
    </row>
    <row r="12" spans="1:17" ht="37.5" customHeight="1" x14ac:dyDescent="0.2">
      <c r="A12" s="191"/>
      <c r="B12" s="222"/>
      <c r="C12" s="240" t="s">
        <v>178</v>
      </c>
      <c r="D12" s="199"/>
      <c r="E12" s="212">
        <v>2108411</v>
      </c>
      <c r="F12" s="213">
        <v>0</v>
      </c>
      <c r="G12" s="213">
        <v>921376</v>
      </c>
      <c r="H12" s="214">
        <v>1187036</v>
      </c>
      <c r="I12" s="212">
        <v>4258991</v>
      </c>
      <c r="J12" s="213">
        <v>0</v>
      </c>
      <c r="K12" s="213">
        <v>1861179</v>
      </c>
      <c r="L12" s="214">
        <v>2397812</v>
      </c>
      <c r="M12" s="215">
        <v>6452582</v>
      </c>
      <c r="N12" s="215">
        <v>8690045</v>
      </c>
      <c r="O12" s="215">
        <v>10972257</v>
      </c>
      <c r="P12" s="215">
        <v>13300113</v>
      </c>
      <c r="Q12" s="223" t="s">
        <v>345</v>
      </c>
    </row>
    <row r="13" spans="1:17" ht="37.5" customHeight="1" x14ac:dyDescent="0.2">
      <c r="A13" s="191"/>
      <c r="B13" s="222"/>
      <c r="C13" s="240" t="s">
        <v>179</v>
      </c>
      <c r="D13" s="199"/>
      <c r="E13" s="212">
        <v>1271247</v>
      </c>
      <c r="F13" s="213">
        <v>0</v>
      </c>
      <c r="G13" s="213">
        <v>555535</v>
      </c>
      <c r="H13" s="214">
        <v>715712</v>
      </c>
      <c r="I13" s="212">
        <v>2567920</v>
      </c>
      <c r="J13" s="213">
        <v>0</v>
      </c>
      <c r="K13" s="213">
        <v>1122181</v>
      </c>
      <c r="L13" s="214">
        <v>1445739</v>
      </c>
      <c r="M13" s="215">
        <v>3890526</v>
      </c>
      <c r="N13" s="215">
        <v>5239584</v>
      </c>
      <c r="O13" s="215">
        <v>6615623</v>
      </c>
      <c r="P13" s="215">
        <v>8019183</v>
      </c>
      <c r="Q13" s="223" t="s">
        <v>345</v>
      </c>
    </row>
    <row r="14" spans="1:17" ht="37.5" customHeight="1" x14ac:dyDescent="0.2">
      <c r="A14" s="191"/>
      <c r="B14" s="222"/>
      <c r="C14" s="325" t="s">
        <v>180</v>
      </c>
      <c r="D14" s="199"/>
      <c r="E14" s="212">
        <v>1342585</v>
      </c>
      <c r="F14" s="213">
        <v>0</v>
      </c>
      <c r="G14" s="213">
        <v>586709</v>
      </c>
      <c r="H14" s="214">
        <v>755875</v>
      </c>
      <c r="I14" s="212">
        <v>2712021</v>
      </c>
      <c r="J14" s="213">
        <v>0</v>
      </c>
      <c r="K14" s="213">
        <v>1185153</v>
      </c>
      <c r="L14" s="214">
        <v>1526868</v>
      </c>
      <c r="M14" s="215">
        <v>4108846</v>
      </c>
      <c r="N14" s="215">
        <v>5533608</v>
      </c>
      <c r="O14" s="215">
        <v>6986865</v>
      </c>
      <c r="P14" s="215">
        <v>8469186</v>
      </c>
      <c r="Q14" s="223" t="s">
        <v>345</v>
      </c>
    </row>
    <row r="15" spans="1:17" ht="37.5" customHeight="1" x14ac:dyDescent="0.2">
      <c r="A15" s="191"/>
      <c r="B15" s="222"/>
      <c r="C15" s="240" t="s">
        <v>181</v>
      </c>
      <c r="D15" s="199"/>
      <c r="E15" s="212">
        <v>175466</v>
      </c>
      <c r="F15" s="213">
        <v>0</v>
      </c>
      <c r="G15" s="213">
        <v>76679</v>
      </c>
      <c r="H15" s="214">
        <v>98787</v>
      </c>
      <c r="I15" s="212">
        <v>354441</v>
      </c>
      <c r="J15" s="213">
        <v>0</v>
      </c>
      <c r="K15" s="213">
        <v>154891</v>
      </c>
      <c r="L15" s="214">
        <v>199550</v>
      </c>
      <c r="M15" s="215">
        <v>536996</v>
      </c>
      <c r="N15" s="215">
        <v>723202</v>
      </c>
      <c r="O15" s="215">
        <v>913131</v>
      </c>
      <c r="P15" s="215">
        <v>1106860</v>
      </c>
      <c r="Q15" s="223" t="s">
        <v>345</v>
      </c>
    </row>
    <row r="16" spans="1:17" ht="37.5" customHeight="1" x14ac:dyDescent="0.2">
      <c r="A16" s="191"/>
      <c r="B16" s="222"/>
      <c r="C16" s="240" t="s">
        <v>182</v>
      </c>
      <c r="D16" s="199"/>
      <c r="E16" s="212">
        <v>247588</v>
      </c>
      <c r="F16" s="213">
        <v>0</v>
      </c>
      <c r="G16" s="213">
        <v>108196</v>
      </c>
      <c r="H16" s="214">
        <v>139392</v>
      </c>
      <c r="I16" s="212">
        <v>500127</v>
      </c>
      <c r="J16" s="213">
        <v>0</v>
      </c>
      <c r="K16" s="213">
        <v>218556</v>
      </c>
      <c r="L16" s="214">
        <v>281572</v>
      </c>
      <c r="M16" s="215">
        <v>757717</v>
      </c>
      <c r="N16" s="215">
        <v>1020459</v>
      </c>
      <c r="O16" s="215">
        <v>1288456</v>
      </c>
      <c r="P16" s="215">
        <v>1561813</v>
      </c>
      <c r="Q16" s="223" t="s">
        <v>345</v>
      </c>
    </row>
    <row r="17" spans="1:17" ht="37.5" customHeight="1" x14ac:dyDescent="0.2">
      <c r="A17" s="191"/>
      <c r="B17" s="222"/>
      <c r="C17" s="240" t="s">
        <v>183</v>
      </c>
      <c r="D17" s="199"/>
      <c r="E17" s="212">
        <v>524256</v>
      </c>
      <c r="F17" s="213">
        <v>0</v>
      </c>
      <c r="G17" s="213">
        <v>229100</v>
      </c>
      <c r="H17" s="214">
        <v>295156</v>
      </c>
      <c r="I17" s="212">
        <v>1064240</v>
      </c>
      <c r="J17" s="213">
        <v>0</v>
      </c>
      <c r="K17" s="213">
        <v>465073</v>
      </c>
      <c r="L17" s="214">
        <v>599167</v>
      </c>
      <c r="M17" s="215">
        <v>1620424</v>
      </c>
      <c r="N17" s="215">
        <v>2193293</v>
      </c>
      <c r="O17" s="215">
        <v>2783348</v>
      </c>
      <c r="P17" s="215">
        <v>3391105</v>
      </c>
      <c r="Q17" s="223" t="s">
        <v>346</v>
      </c>
    </row>
    <row r="18" spans="1:17" ht="20.100000000000001" customHeight="1" x14ac:dyDescent="0.2">
      <c r="A18" s="191"/>
      <c r="B18" s="220" t="s">
        <v>184</v>
      </c>
      <c r="C18" s="326"/>
      <c r="D18" s="200"/>
      <c r="E18" s="203"/>
      <c r="F18" s="197"/>
      <c r="G18" s="197"/>
      <c r="H18" s="204"/>
      <c r="I18" s="203"/>
      <c r="J18" s="197"/>
      <c r="K18" s="197"/>
      <c r="L18" s="204"/>
      <c r="M18" s="205"/>
      <c r="N18" s="205"/>
      <c r="O18" s="205"/>
      <c r="P18" s="205"/>
      <c r="Q18" s="221"/>
    </row>
    <row r="19" spans="1:17" ht="37.5" customHeight="1" x14ac:dyDescent="0.2">
      <c r="A19" s="191"/>
      <c r="B19" s="219"/>
      <c r="C19" s="240" t="s">
        <v>185</v>
      </c>
      <c r="D19" s="199"/>
      <c r="E19" s="212">
        <v>14378.843200000003</v>
      </c>
      <c r="F19" s="213">
        <v>6283.5544784000022</v>
      </c>
      <c r="G19" s="213">
        <v>0</v>
      </c>
      <c r="H19" s="214">
        <v>8095.2887216000008</v>
      </c>
      <c r="I19" s="212">
        <v>29528.392395520001</v>
      </c>
      <c r="J19" s="213">
        <v>12903.907476842243</v>
      </c>
      <c r="K19" s="213">
        <v>0</v>
      </c>
      <c r="L19" s="214">
        <v>16624.484918677757</v>
      </c>
      <c r="M19" s="215">
        <v>45490</v>
      </c>
      <c r="N19" s="215">
        <v>62307</v>
      </c>
      <c r="O19" s="215">
        <v>80026</v>
      </c>
      <c r="P19" s="215">
        <v>98694</v>
      </c>
      <c r="Q19" s="223" t="s">
        <v>347</v>
      </c>
    </row>
    <row r="20" spans="1:17" ht="37.5" customHeight="1" x14ac:dyDescent="0.2">
      <c r="A20" s="191"/>
      <c r="B20" s="219"/>
      <c r="C20" s="240" t="s">
        <v>348</v>
      </c>
      <c r="D20" s="199"/>
      <c r="E20" s="212">
        <v>1843385</v>
      </c>
      <c r="F20" s="213">
        <v>500000</v>
      </c>
      <c r="G20" s="213">
        <v>1343385</v>
      </c>
      <c r="H20" s="318"/>
      <c r="I20" s="212">
        <v>3742073.2754999995</v>
      </c>
      <c r="J20" s="213">
        <v>500000</v>
      </c>
      <c r="K20" s="213">
        <v>3242073</v>
      </c>
      <c r="L20" s="318"/>
      <c r="M20" s="215">
        <v>5697721</v>
      </c>
      <c r="N20" s="215">
        <v>7712039</v>
      </c>
      <c r="O20" s="215">
        <v>9786786</v>
      </c>
      <c r="P20" s="215">
        <v>11923775</v>
      </c>
      <c r="Q20" s="223" t="s">
        <v>349</v>
      </c>
    </row>
    <row r="21" spans="1:17" ht="37.5" customHeight="1" x14ac:dyDescent="0.2">
      <c r="A21" s="191"/>
      <c r="B21" s="220" t="s">
        <v>186</v>
      </c>
      <c r="C21" s="326"/>
      <c r="D21" s="200"/>
      <c r="E21" s="203"/>
      <c r="F21" s="197"/>
      <c r="G21" s="197"/>
      <c r="H21" s="204"/>
      <c r="I21" s="203"/>
      <c r="J21" s="197"/>
      <c r="K21" s="197"/>
      <c r="L21" s="204"/>
      <c r="M21" s="205"/>
      <c r="N21" s="205"/>
      <c r="O21" s="205"/>
      <c r="P21" s="205"/>
      <c r="Q21" s="221"/>
    </row>
    <row r="22" spans="1:17" ht="37.5" customHeight="1" x14ac:dyDescent="0.2">
      <c r="A22" s="191"/>
      <c r="B22" s="210"/>
      <c r="C22" s="240" t="s">
        <v>350</v>
      </c>
      <c r="D22" s="199"/>
      <c r="E22" s="212">
        <v>0</v>
      </c>
      <c r="F22" s="213">
        <v>0</v>
      </c>
      <c r="G22" s="213">
        <v>0</v>
      </c>
      <c r="H22" s="318"/>
      <c r="I22" s="212">
        <v>0</v>
      </c>
      <c r="J22" s="213">
        <v>0</v>
      </c>
      <c r="K22" s="213">
        <v>0</v>
      </c>
      <c r="L22" s="318"/>
      <c r="M22" s="215">
        <v>0</v>
      </c>
      <c r="N22" s="215">
        <v>0</v>
      </c>
      <c r="O22" s="215">
        <v>0</v>
      </c>
      <c r="P22" s="215">
        <v>0</v>
      </c>
      <c r="Q22" s="223" t="s">
        <v>351</v>
      </c>
    </row>
    <row r="23" spans="1:17" ht="37.5" customHeight="1" x14ac:dyDescent="0.2">
      <c r="A23" s="191"/>
      <c r="B23" s="210"/>
      <c r="C23" s="240" t="s">
        <v>352</v>
      </c>
      <c r="D23" s="199"/>
      <c r="E23" s="212">
        <v>1139181.9508126508</v>
      </c>
      <c r="F23" s="213">
        <v>361313.59140739101</v>
      </c>
      <c r="G23" s="213">
        <v>777868.35940525995</v>
      </c>
      <c r="H23" s="318"/>
      <c r="I23" s="212">
        <v>1850000</v>
      </c>
      <c r="J23" s="213">
        <v>361313.59140739101</v>
      </c>
      <c r="K23" s="213">
        <v>1488686.408592609</v>
      </c>
      <c r="L23" s="318"/>
      <c r="M23" s="215">
        <v>1850000</v>
      </c>
      <c r="N23" s="215">
        <v>1850000</v>
      </c>
      <c r="O23" s="215">
        <v>1850000</v>
      </c>
      <c r="P23" s="215">
        <v>1850000</v>
      </c>
      <c r="Q23" s="223" t="s">
        <v>353</v>
      </c>
    </row>
    <row r="24" spans="1:17" ht="20.100000000000001" customHeight="1" x14ac:dyDescent="0.2">
      <c r="A24" s="191"/>
      <c r="B24" s="220" t="s">
        <v>187</v>
      </c>
      <c r="C24" s="326"/>
      <c r="D24" s="200"/>
      <c r="E24" s="203"/>
      <c r="F24" s="197"/>
      <c r="G24" s="197"/>
      <c r="H24" s="204"/>
      <c r="I24" s="203"/>
      <c r="J24" s="197"/>
      <c r="K24" s="197"/>
      <c r="L24" s="204"/>
      <c r="M24" s="205"/>
      <c r="N24" s="205"/>
      <c r="O24" s="205"/>
      <c r="P24" s="205"/>
      <c r="Q24" s="221"/>
    </row>
    <row r="25" spans="1:17" ht="37.5" customHeight="1" x14ac:dyDescent="0.2">
      <c r="A25" s="191"/>
      <c r="B25" s="222"/>
      <c r="C25" s="398" t="s">
        <v>354</v>
      </c>
      <c r="D25" s="399"/>
      <c r="E25" s="400">
        <v>277098.31235983403</v>
      </c>
      <c r="F25" s="401">
        <v>87887.089801797818</v>
      </c>
      <c r="G25" s="401">
        <v>189211.22255803621</v>
      </c>
      <c r="H25" s="402"/>
      <c r="I25" s="400">
        <v>450000</v>
      </c>
      <c r="J25" s="401">
        <v>87887.089801797818</v>
      </c>
      <c r="K25" s="401">
        <v>362112.91019820218</v>
      </c>
      <c r="L25" s="402"/>
      <c r="M25" s="403">
        <v>450000</v>
      </c>
      <c r="N25" s="403">
        <v>450000</v>
      </c>
      <c r="O25" s="403">
        <v>450000</v>
      </c>
      <c r="P25" s="403">
        <v>450000</v>
      </c>
      <c r="Q25" s="404" t="s">
        <v>355</v>
      </c>
    </row>
    <row r="26" spans="1:17" ht="37.5" customHeight="1" x14ac:dyDescent="0.2">
      <c r="A26" s="191"/>
      <c r="B26" s="220" t="s">
        <v>188</v>
      </c>
      <c r="C26" s="326"/>
      <c r="D26" s="200"/>
      <c r="E26" s="203"/>
      <c r="F26" s="197"/>
      <c r="G26" s="197"/>
      <c r="H26" s="204"/>
      <c r="I26" s="203"/>
      <c r="J26" s="197"/>
      <c r="K26" s="197"/>
      <c r="L26" s="204"/>
      <c r="M26" s="205"/>
      <c r="N26" s="205"/>
      <c r="O26" s="205"/>
      <c r="P26" s="205"/>
      <c r="Q26" s="221"/>
    </row>
    <row r="27" spans="1:17" ht="37.5" customHeight="1" x14ac:dyDescent="0.2">
      <c r="A27" s="191"/>
      <c r="B27" s="222"/>
      <c r="C27" s="405" t="s">
        <v>356</v>
      </c>
      <c r="D27" s="399"/>
      <c r="E27" s="400">
        <v>1113818.2186213143</v>
      </c>
      <c r="F27" s="401">
        <v>353268.99312086659</v>
      </c>
      <c r="G27" s="401">
        <v>760549.22550044768</v>
      </c>
      <c r="H27" s="402"/>
      <c r="I27" s="400">
        <v>1808810</v>
      </c>
      <c r="J27" s="401">
        <v>353268.99312086659</v>
      </c>
      <c r="K27" s="401">
        <v>1455541.0068791334</v>
      </c>
      <c r="L27" s="402"/>
      <c r="M27" s="403">
        <v>1808810</v>
      </c>
      <c r="N27" s="403">
        <v>1808810</v>
      </c>
      <c r="O27" s="403">
        <v>1808810</v>
      </c>
      <c r="P27" s="403">
        <v>1808810</v>
      </c>
      <c r="Q27" s="404" t="s">
        <v>357</v>
      </c>
    </row>
    <row r="28" spans="1:17" ht="37.5" customHeight="1" thickBot="1" x14ac:dyDescent="0.25">
      <c r="A28" s="191"/>
      <c r="B28" s="222"/>
      <c r="C28" s="398" t="s">
        <v>358</v>
      </c>
      <c r="D28" s="399"/>
      <c r="E28" s="400">
        <v>1492885.6310594298</v>
      </c>
      <c r="F28" s="401">
        <v>473497.55544650601</v>
      </c>
      <c r="G28" s="401">
        <v>1019388.0756129238</v>
      </c>
      <c r="H28" s="402"/>
      <c r="I28" s="400">
        <v>2424405</v>
      </c>
      <c r="J28" s="401">
        <v>473497.55544650601</v>
      </c>
      <c r="K28" s="401">
        <v>1950907</v>
      </c>
      <c r="L28" s="402"/>
      <c r="M28" s="406"/>
      <c r="N28" s="406"/>
      <c r="O28" s="406"/>
      <c r="P28" s="406"/>
      <c r="Q28" s="404" t="s">
        <v>359</v>
      </c>
    </row>
    <row r="29" spans="1:17" ht="15.75" x14ac:dyDescent="0.2">
      <c r="B29" s="211" t="s">
        <v>189</v>
      </c>
      <c r="C29" s="327"/>
      <c r="D29" s="224"/>
      <c r="E29" s="225">
        <f>ROUND(SUM(E12:E28),0)</f>
        <v>11550301</v>
      </c>
      <c r="F29" s="226">
        <f t="shared" ref="F29:I29" si="0">ROUND(SUM(F12:F28),0)</f>
        <v>1782251</v>
      </c>
      <c r="G29" s="226">
        <f t="shared" si="0"/>
        <v>6567997</v>
      </c>
      <c r="H29" s="227">
        <f t="shared" si="0"/>
        <v>3200053</v>
      </c>
      <c r="I29" s="225">
        <f t="shared" si="0"/>
        <v>21762557</v>
      </c>
      <c r="J29" s="226">
        <f t="shared" ref="J29" si="1">ROUND(SUM(J12:J28),0)</f>
        <v>1788871</v>
      </c>
      <c r="K29" s="226">
        <f t="shared" ref="K29" si="2">ROUND(SUM(K12:K28),0)</f>
        <v>13506353</v>
      </c>
      <c r="L29" s="227">
        <f t="shared" ref="L29:M29" si="3">ROUND(SUM(L12:L28),0)</f>
        <v>6467332</v>
      </c>
      <c r="M29" s="228">
        <f t="shared" si="3"/>
        <v>27219112</v>
      </c>
      <c r="N29" s="228">
        <f t="shared" ref="N29" si="4">ROUND(SUM(N12:N28),0)</f>
        <v>35283347</v>
      </c>
      <c r="O29" s="228">
        <f t="shared" ref="O29" si="5">ROUND(SUM(O12:O28),0)</f>
        <v>43535302</v>
      </c>
      <c r="P29" s="228">
        <f t="shared" ref="P29" si="6">ROUND(SUM(P12:P28),0)</f>
        <v>51979539</v>
      </c>
      <c r="Q29" s="229"/>
    </row>
    <row r="30" spans="1:17" ht="15" x14ac:dyDescent="0.2">
      <c r="B30" s="186"/>
      <c r="C30" s="328"/>
      <c r="D30" s="230"/>
      <c r="E30" s="230"/>
      <c r="F30" s="230"/>
      <c r="G30" s="230"/>
    </row>
    <row r="31" spans="1:17" ht="15.75" x14ac:dyDescent="0.2">
      <c r="B31" s="230"/>
      <c r="C31" s="328"/>
      <c r="D31" s="230"/>
      <c r="E31" s="230"/>
      <c r="F31" s="230"/>
      <c r="G31" s="230"/>
      <c r="H31" s="230"/>
      <c r="I31" s="231"/>
      <c r="J31" s="232"/>
      <c r="K31" s="232"/>
      <c r="L31" s="193"/>
      <c r="M31" s="232"/>
      <c r="N31" s="232"/>
      <c r="O31" s="232"/>
    </row>
    <row r="32" spans="1:17" ht="66" customHeight="1" x14ac:dyDescent="0.2">
      <c r="B32" s="230"/>
      <c r="I32" s="481" t="s">
        <v>190</v>
      </c>
      <c r="J32" s="482"/>
      <c r="K32" s="316"/>
    </row>
    <row r="33" spans="7:11" ht="15.75" x14ac:dyDescent="0.2">
      <c r="I33" s="184" t="s">
        <v>164</v>
      </c>
      <c r="J33" s="185" t="s">
        <v>165</v>
      </c>
      <c r="K33" s="193"/>
    </row>
    <row r="34" spans="7:11" ht="15" x14ac:dyDescent="0.2">
      <c r="I34" s="412">
        <f>G29-('2-Revenue'!E24-'2-Revenue'!C24)</f>
        <v>0</v>
      </c>
      <c r="J34" s="413">
        <f>K29-('2-Revenue'!G24-'2-Revenue'!C24)</f>
        <v>0</v>
      </c>
      <c r="K34" s="317"/>
    </row>
    <row r="35" spans="7:11" ht="69.75" customHeight="1" x14ac:dyDescent="0.2">
      <c r="G35" s="315"/>
      <c r="H35" s="314" t="s">
        <v>191</v>
      </c>
      <c r="I35" s="233"/>
      <c r="J35" s="234"/>
    </row>
  </sheetData>
  <sheetProtection insertRows="0" selectLockedCells="1" selectUnlockedCells="1"/>
  <mergeCells count="9">
    <mergeCell ref="I32:J32"/>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heetViews>
  <sheetFormatPr defaultColWidth="8.7109375" defaultRowHeight="15.75" x14ac:dyDescent="0.25"/>
  <cols>
    <col min="1" max="1" width="34.5703125" style="370" customWidth="1"/>
    <col min="2" max="16384" width="8.7109375" style="370"/>
  </cols>
  <sheetData>
    <row r="1" spans="1:2" x14ac:dyDescent="0.25">
      <c r="A1" s="377" t="s">
        <v>192</v>
      </c>
    </row>
    <row r="2" spans="1:2" x14ac:dyDescent="0.25">
      <c r="A2" s="369"/>
      <c r="B2" s="375" t="s">
        <v>193</v>
      </c>
    </row>
    <row r="3" spans="1:2" x14ac:dyDescent="0.25">
      <c r="A3" s="371" t="s">
        <v>194</v>
      </c>
      <c r="B3" s="376" t="s">
        <v>195</v>
      </c>
    </row>
    <row r="4" spans="1:2" x14ac:dyDescent="0.25">
      <c r="A4" s="372" t="s">
        <v>196</v>
      </c>
      <c r="B4" s="373">
        <v>0.60499999999999998</v>
      </c>
    </row>
    <row r="5" spans="1:2" x14ac:dyDescent="0.25">
      <c r="A5" s="372" t="s">
        <v>197</v>
      </c>
      <c r="B5" s="373">
        <v>0.497</v>
      </c>
    </row>
    <row r="6" spans="1:2" x14ac:dyDescent="0.25">
      <c r="A6" s="372" t="s">
        <v>198</v>
      </c>
      <c r="B6" s="373">
        <v>0.51400000000000001</v>
      </c>
    </row>
    <row r="7" spans="1:2" x14ac:dyDescent="0.25">
      <c r="A7" s="372" t="s">
        <v>199</v>
      </c>
      <c r="B7" s="373">
        <v>0.60299999999999998</v>
      </c>
    </row>
    <row r="8" spans="1:2" x14ac:dyDescent="0.25">
      <c r="A8" s="372" t="s">
        <v>200</v>
      </c>
      <c r="B8" s="373">
        <v>0.48199999999999998</v>
      </c>
    </row>
    <row r="9" spans="1:2" x14ac:dyDescent="0.25">
      <c r="A9" s="372" t="s">
        <v>201</v>
      </c>
      <c r="B9" s="373">
        <v>0.56299999999999994</v>
      </c>
    </row>
    <row r="10" spans="1:2" x14ac:dyDescent="0.25">
      <c r="A10" s="372" t="s">
        <v>202</v>
      </c>
      <c r="B10" s="373">
        <v>0.59</v>
      </c>
    </row>
    <row r="11" spans="1:2" x14ac:dyDescent="0.25">
      <c r="A11" s="372" t="s">
        <v>203</v>
      </c>
      <c r="B11" s="373">
        <v>0.59399999999999997</v>
      </c>
    </row>
    <row r="12" spans="1:2" x14ac:dyDescent="0.25">
      <c r="A12" s="372" t="s">
        <v>204</v>
      </c>
      <c r="B12" s="373">
        <v>0.313</v>
      </c>
    </row>
    <row r="13" spans="1:2" x14ac:dyDescent="0.25">
      <c r="A13" s="372" t="s">
        <v>205</v>
      </c>
      <c r="B13" s="373">
        <v>0.56899999999999995</v>
      </c>
    </row>
    <row r="14" spans="1:2" x14ac:dyDescent="0.25">
      <c r="A14" s="372" t="s">
        <v>206</v>
      </c>
      <c r="B14" s="373">
        <v>0.504</v>
      </c>
    </row>
    <row r="15" spans="1:2" x14ac:dyDescent="0.25">
      <c r="A15" s="372" t="s">
        <v>207</v>
      </c>
      <c r="B15" s="373">
        <v>0.42099999999999999</v>
      </c>
    </row>
    <row r="16" spans="1:2" x14ac:dyDescent="0.25">
      <c r="A16" s="372" t="s">
        <v>208</v>
      </c>
      <c r="B16" s="373">
        <v>0.47099999999999997</v>
      </c>
    </row>
    <row r="17" spans="1:2" x14ac:dyDescent="0.25">
      <c r="A17" s="372" t="s">
        <v>209</v>
      </c>
      <c r="B17" s="373">
        <v>0.38200000000000001</v>
      </c>
    </row>
    <row r="18" spans="1:2" x14ac:dyDescent="0.25">
      <c r="A18" s="372" t="s">
        <v>210</v>
      </c>
      <c r="B18" s="373">
        <v>0.38200000000000001</v>
      </c>
    </row>
    <row r="19" spans="1:2" x14ac:dyDescent="0.25">
      <c r="A19" s="372" t="s">
        <v>211</v>
      </c>
      <c r="B19" s="373">
        <v>0.62</v>
      </c>
    </row>
    <row r="20" spans="1:2" x14ac:dyDescent="0.25">
      <c r="A20" s="372" t="s">
        <v>212</v>
      </c>
      <c r="B20" s="373">
        <v>0.628</v>
      </c>
    </row>
    <row r="21" spans="1:2" x14ac:dyDescent="0.25">
      <c r="A21" s="372" t="s">
        <v>213</v>
      </c>
      <c r="B21" s="373">
        <v>0.48199999999999998</v>
      </c>
    </row>
    <row r="22" spans="1:2" x14ac:dyDescent="0.25">
      <c r="A22" s="374" t="s">
        <v>214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sheetPr>
  <dimension ref="A1:T40"/>
  <sheetViews>
    <sheetView topLeftCell="A4" zoomScaleNormal="100" workbookViewId="0">
      <selection activeCell="B11" sqref="B11"/>
    </sheetView>
  </sheetViews>
  <sheetFormatPr defaultRowHeight="12.75" x14ac:dyDescent="0.2"/>
  <cols>
    <col min="1" max="1" width="9.140625" style="169"/>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11.42578125" bestFit="1"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69"/>
  </cols>
  <sheetData>
    <row r="1" spans="1:20" ht="23.25" x14ac:dyDescent="0.2">
      <c r="A1" s="292" t="s">
        <v>215</v>
      </c>
      <c r="B1" s="293"/>
      <c r="C1" s="293"/>
      <c r="D1" s="293"/>
      <c r="E1" s="293"/>
      <c r="F1" s="293"/>
      <c r="G1" s="293"/>
      <c r="H1" s="294"/>
      <c r="I1" s="295"/>
      <c r="J1" s="295"/>
      <c r="K1" s="295"/>
      <c r="L1" s="295"/>
      <c r="M1" s="295"/>
      <c r="N1" s="295"/>
      <c r="O1" s="295"/>
      <c r="P1" s="295"/>
      <c r="Q1" s="295"/>
      <c r="R1" s="295"/>
      <c r="S1" s="295"/>
      <c r="T1" s="296"/>
    </row>
    <row r="2" spans="1:20" ht="23.25" x14ac:dyDescent="0.2">
      <c r="A2" s="500" t="str">
        <f>'Institution ID'!C3</f>
        <v>Old Dominion University</v>
      </c>
      <c r="B2" s="485"/>
      <c r="C2" s="485"/>
      <c r="D2" s="485"/>
      <c r="E2" s="485"/>
      <c r="F2" s="485"/>
      <c r="G2" s="485"/>
      <c r="H2" s="241"/>
      <c r="I2" s="169"/>
      <c r="J2" s="169"/>
      <c r="K2" s="169"/>
      <c r="L2" s="169"/>
      <c r="M2" s="169"/>
      <c r="N2" s="169"/>
      <c r="O2" s="169"/>
      <c r="P2" s="169"/>
      <c r="Q2" s="169"/>
      <c r="R2" s="169"/>
      <c r="S2" s="169"/>
      <c r="T2" s="297"/>
    </row>
    <row r="3" spans="1:20" ht="12.75" customHeight="1" x14ac:dyDescent="0.2">
      <c r="A3" s="502" t="s">
        <v>216</v>
      </c>
      <c r="B3" s="503"/>
      <c r="C3" s="503"/>
      <c r="D3" s="503"/>
      <c r="E3" s="503"/>
      <c r="F3" s="503"/>
      <c r="G3" s="503"/>
      <c r="H3" s="503"/>
      <c r="I3" s="503"/>
      <c r="J3" s="503"/>
      <c r="K3" s="503"/>
      <c r="L3" s="503"/>
      <c r="M3" s="503"/>
      <c r="N3" s="503"/>
      <c r="O3" s="503"/>
      <c r="P3" s="503"/>
      <c r="Q3" s="503"/>
      <c r="R3" s="503"/>
      <c r="S3" s="503"/>
      <c r="T3" s="297"/>
    </row>
    <row r="4" spans="1:20" ht="102.75" customHeight="1" x14ac:dyDescent="0.2">
      <c r="A4" s="502"/>
      <c r="B4" s="503"/>
      <c r="C4" s="503"/>
      <c r="D4" s="503"/>
      <c r="E4" s="503"/>
      <c r="F4" s="503"/>
      <c r="G4" s="503"/>
      <c r="H4" s="503"/>
      <c r="I4" s="503"/>
      <c r="J4" s="503"/>
      <c r="K4" s="503"/>
      <c r="L4" s="503"/>
      <c r="M4" s="503"/>
      <c r="N4" s="503"/>
      <c r="O4" s="503"/>
      <c r="P4" s="503"/>
      <c r="Q4" s="503"/>
      <c r="R4" s="503"/>
      <c r="S4" s="503"/>
      <c r="T4" s="297"/>
    </row>
    <row r="5" spans="1:20" x14ac:dyDescent="0.2">
      <c r="A5" s="298"/>
      <c r="B5" s="169"/>
      <c r="C5" s="169"/>
      <c r="D5" s="169"/>
      <c r="E5" s="169"/>
      <c r="F5" s="169"/>
      <c r="G5" s="169"/>
      <c r="H5" s="169"/>
      <c r="I5" s="169"/>
      <c r="J5" s="169"/>
      <c r="K5" s="169"/>
      <c r="L5" s="169"/>
      <c r="M5" s="169"/>
      <c r="N5" s="169"/>
      <c r="O5" s="169"/>
      <c r="P5" s="169"/>
      <c r="Q5" s="169"/>
      <c r="R5" s="169"/>
      <c r="S5" s="169"/>
      <c r="T5" s="297"/>
    </row>
    <row r="6" spans="1:20" s="169" customFormat="1" ht="13.5" thickBot="1" x14ac:dyDescent="0.25">
      <c r="A6" s="298"/>
      <c r="R6" s="501" t="s">
        <v>217</v>
      </c>
      <c r="S6" s="501"/>
      <c r="T6" s="297"/>
    </row>
    <row r="7" spans="1:20" s="1" customFormat="1" ht="12.75" customHeight="1" x14ac:dyDescent="0.2">
      <c r="A7" s="176"/>
      <c r="B7" s="177" t="s">
        <v>218</v>
      </c>
      <c r="C7" s="251" t="s">
        <v>89</v>
      </c>
      <c r="D7" s="251" t="s">
        <v>90</v>
      </c>
      <c r="E7" s="252" t="s">
        <v>369</v>
      </c>
      <c r="F7" s="253" t="s">
        <v>164</v>
      </c>
      <c r="G7" s="252" t="s">
        <v>369</v>
      </c>
      <c r="H7" s="253" t="s">
        <v>165</v>
      </c>
      <c r="I7" s="252" t="s">
        <v>369</v>
      </c>
      <c r="J7" s="254" t="s">
        <v>166</v>
      </c>
      <c r="K7" s="252" t="s">
        <v>369</v>
      </c>
      <c r="L7" s="254" t="s">
        <v>167</v>
      </c>
      <c r="M7" s="252" t="s">
        <v>369</v>
      </c>
      <c r="N7" s="254" t="s">
        <v>168</v>
      </c>
      <c r="O7" s="252" t="s">
        <v>369</v>
      </c>
      <c r="P7" s="254" t="s">
        <v>169</v>
      </c>
      <c r="Q7" s="252" t="s">
        <v>369</v>
      </c>
      <c r="R7" s="344" t="s">
        <v>372</v>
      </c>
      <c r="S7" s="334" t="s">
        <v>373</v>
      </c>
      <c r="T7" s="299"/>
    </row>
    <row r="8" spans="1:20" x14ac:dyDescent="0.2">
      <c r="A8" s="298"/>
      <c r="B8" s="183" t="s">
        <v>219</v>
      </c>
      <c r="C8" s="288">
        <f>'2-Revenue'!B25</f>
        <v>178801060</v>
      </c>
      <c r="D8" s="288">
        <f>'2-Revenue'!C25</f>
        <v>185637784</v>
      </c>
      <c r="E8" s="289">
        <f>IF(C8=0,"%",D8/C8-1)</f>
        <v>3.8236484727775188E-2</v>
      </c>
      <c r="F8" s="288">
        <f>D8+'4-Academic-Financial'!H29</f>
        <v>188837837</v>
      </c>
      <c r="G8" s="289">
        <f>IF(D8=0,"%",F8/D8-1)</f>
        <v>1.723815556858832E-2</v>
      </c>
      <c r="H8" s="288">
        <f>D8+'4-Academic-Financial'!L29</f>
        <v>192105116</v>
      </c>
      <c r="I8" s="289">
        <f>IF(F8=0,"%",H8/F8-1)</f>
        <v>1.7302035714378494E-2</v>
      </c>
      <c r="J8" s="288">
        <f>IFERROR(D8+'4-Academic-Financial'!L6*SUM('4-Academic-Financial'!M12:M17,'4-Academic-Financial'!M19),0)</f>
        <v>195441067.67900994</v>
      </c>
      <c r="K8" s="289">
        <f>IF(H8=0,"%",J8/H8-1)</f>
        <v>1.7365241220384409E-2</v>
      </c>
      <c r="L8" s="288">
        <f>IFERROR(D8+'4-Academic-Financial'!L6*SUM('4-Academic-Financial'!N12:N17, '4-Academic-Financial'!N19),0)</f>
        <v>198847171.15014181</v>
      </c>
      <c r="M8" s="289">
        <f>IF(J8=0,"%",L8/J8-1)</f>
        <v>1.7427777649710707E-2</v>
      </c>
      <c r="N8" s="288">
        <f>IFERROR(D8+'4-Academic-Financial'!L6*SUM('4-Academic-Financial'!O12:O17, '4-Academic-Financial'!O19),0)</f>
        <v>202324939.45848447</v>
      </c>
      <c r="O8" s="289">
        <f>IF(L8=0,"%",N8/L8-1)</f>
        <v>1.748965443273387E-2</v>
      </c>
      <c r="P8" s="288">
        <f>IFERROR(D8+'4-Academic-Financial'!L6*SUM('4-Academic-Financial'!P12:P17,'4-Academic-Financial'!P19),0)</f>
        <v>205875920.29112887</v>
      </c>
      <c r="Q8" s="289">
        <f>IF(N8=0,"%",P8/N8-1)</f>
        <v>1.755088049030662E-2</v>
      </c>
      <c r="R8" s="345">
        <f>IF(C8=0,"%",P8/C8-1)</f>
        <v>0.15142449542037872</v>
      </c>
      <c r="S8" s="335">
        <f>IFERROR(R8/7,"%")</f>
        <v>2.1632070774339818E-2</v>
      </c>
      <c r="T8" s="297"/>
    </row>
    <row r="9" spans="1:20" x14ac:dyDescent="0.2">
      <c r="A9" s="298"/>
      <c r="B9" s="173" t="s">
        <v>220</v>
      </c>
      <c r="C9" s="237">
        <f>'3-Financial Aid'!I18</f>
        <v>0.16935560653046866</v>
      </c>
      <c r="D9" s="237">
        <f>'3-Financial Aid'!I31</f>
        <v>0.1543092997488619</v>
      </c>
      <c r="E9" s="269" t="str">
        <f>IF(OR(C9=0,C9="%"),"%",_xlfn.CONCAT(ROUND(D9-C9,5)*100,"pt"))</f>
        <v>-1.505pt</v>
      </c>
      <c r="F9" s="237">
        <f>'3-Financial Aid'!I44</f>
        <v>0.1534781394065568</v>
      </c>
      <c r="G9" s="269" t="str">
        <f>IF(OR(D9=0,D9="%"),"%",_xlfn.CONCAT(ROUND(F9-D9,5)*100,"pt"))</f>
        <v>-0.083pt</v>
      </c>
      <c r="H9" s="237">
        <f>'3-Financial Aid'!I57</f>
        <v>0.14975417650919609</v>
      </c>
      <c r="I9" s="269" t="str">
        <f>IF(OR(F9=0,F9="%"),"%",_xlfn.CONCAT(ROUND(H9-F9,5)*100,"pt"))</f>
        <v>-0.372pt</v>
      </c>
      <c r="J9" s="237">
        <f>'3-Financial Aid'!I70</f>
        <v>0.14931165275803465</v>
      </c>
      <c r="K9" s="269" t="str">
        <f>IF(OR(H9=0,H9="%"),"%",_xlfn.CONCAT(ROUND(J9-H9,5)*100,"pt"))</f>
        <v>-0.044pt</v>
      </c>
      <c r="L9" s="237">
        <f>'3-Financial Aid'!I83</f>
        <v>0.14885377925652557</v>
      </c>
      <c r="M9" s="269" t="str">
        <f>IF(OR(J9=0,J9="%"),"%",_xlfn.CONCAT(ROUND(L9-J9,5)*100,"pt"))</f>
        <v>-0.046pt</v>
      </c>
      <c r="N9" s="237">
        <f>'3-Financial Aid'!I96</f>
        <v>0.14837695665281594</v>
      </c>
      <c r="O9" s="269" t="str">
        <f>IF(OR(L9=0,L9="%"),"%",_xlfn.CONCAT(ROUND(N9-L9,5)*100,"pt"))</f>
        <v>-0.048pt</v>
      </c>
      <c r="P9" s="237">
        <f>'3-Financial Aid'!I109</f>
        <v>0.14837695665281594</v>
      </c>
      <c r="Q9" s="269" t="str">
        <f>IF(OR(N9=0,N9="%"),"%",_xlfn.CONCAT(ROUND(P9-N9,5)*100,"pt"))</f>
        <v>0pt</v>
      </c>
      <c r="R9" s="346" t="str">
        <f>IF(OR(C9=0,C9="%"),"%",_xlfn.CONCAT(ROUND(P9-C9,5)*100,"pt"))</f>
        <v>-2.098pt</v>
      </c>
      <c r="S9" s="337" t="str">
        <f>IFERROR(R9/7,"%")</f>
        <v>%</v>
      </c>
      <c r="T9" s="297"/>
    </row>
    <row r="10" spans="1:20" x14ac:dyDescent="0.2">
      <c r="A10" s="298"/>
      <c r="B10" s="174" t="s">
        <v>221</v>
      </c>
      <c r="C10" s="282">
        <f>'2-Revenue'!B24</f>
        <v>155788918</v>
      </c>
      <c r="D10" s="282">
        <f>'2-Revenue'!C24</f>
        <v>161934061</v>
      </c>
      <c r="E10" s="283">
        <f t="shared" ref="E10:E18" si="0">IF(C10=0,"%",D10/C10-1)</f>
        <v>3.9445315359337707E-2</v>
      </c>
      <c r="F10" s="282">
        <f>'2-Revenue'!E24</f>
        <v>168502058</v>
      </c>
      <c r="G10" s="283">
        <f t="shared" ref="G10:Q18" si="1">IF(D10=0,"%",F10/D10-1)</f>
        <v>4.0559700407933219E-2</v>
      </c>
      <c r="H10" s="282">
        <f>'2-Revenue'!G24</f>
        <v>175440414</v>
      </c>
      <c r="I10" s="283">
        <f t="shared" ref="I10:Q18" si="2">IF(F10=0,"%",H10/F10-1)</f>
        <v>4.1176684026019483E-2</v>
      </c>
      <c r="J10" s="282">
        <f>'2-Revenue'!I24</f>
        <v>174043115</v>
      </c>
      <c r="K10" s="283">
        <f t="shared" si="2"/>
        <v>-7.9645217891471942E-3</v>
      </c>
      <c r="L10" s="282">
        <f>'2-Revenue'!K24</f>
        <v>171255937</v>
      </c>
      <c r="M10" s="283">
        <f t="shared" si="2"/>
        <v>-1.6014296227690461E-2</v>
      </c>
      <c r="N10" s="282">
        <f>'2-Revenue'!M24</f>
        <v>170295571</v>
      </c>
      <c r="O10" s="283">
        <f t="shared" si="2"/>
        <v>-5.6077822283031598E-3</v>
      </c>
      <c r="P10" s="282">
        <f>'2-Revenue'!O24</f>
        <v>170295571</v>
      </c>
      <c r="Q10" s="283">
        <f t="shared" si="2"/>
        <v>0</v>
      </c>
      <c r="R10" s="347">
        <f>IF(C10=0,"%",P10/C10-1)</f>
        <v>9.3117361531453779E-2</v>
      </c>
      <c r="S10" s="336">
        <f>IFERROR(R10/7,"%")</f>
        <v>1.3302480218779111E-2</v>
      </c>
      <c r="T10" s="297"/>
    </row>
    <row r="11" spans="1:20" x14ac:dyDescent="0.2">
      <c r="A11" s="298"/>
      <c r="B11" s="173" t="s">
        <v>222</v>
      </c>
      <c r="C11" s="277"/>
      <c r="D11" s="242">
        <f>D10-C10</f>
        <v>6145143</v>
      </c>
      <c r="E11" s="268"/>
      <c r="F11" s="242">
        <f>F10-D10</f>
        <v>6567997</v>
      </c>
      <c r="G11" s="268">
        <f t="shared" si="1"/>
        <v>6.8811091946924696E-2</v>
      </c>
      <c r="H11" s="242">
        <f>H10-F10</f>
        <v>6938356</v>
      </c>
      <c r="I11" s="268">
        <f t="shared" si="2"/>
        <v>5.6388424050741737E-2</v>
      </c>
      <c r="J11" s="242">
        <f>J10-H10</f>
        <v>-1397299</v>
      </c>
      <c r="K11" s="268">
        <f t="shared" si="2"/>
        <v>-1.2013876197762121</v>
      </c>
      <c r="L11" s="242">
        <f>L10-J10</f>
        <v>-2787178</v>
      </c>
      <c r="M11" s="268">
        <f t="shared" si="2"/>
        <v>0.99468975502022117</v>
      </c>
      <c r="N11" s="242">
        <f>N10-L10</f>
        <v>-960366</v>
      </c>
      <c r="O11" s="268">
        <f t="shared" si="2"/>
        <v>-0.65543427796861198</v>
      </c>
      <c r="P11" s="242">
        <f>P10-N10</f>
        <v>0</v>
      </c>
      <c r="Q11" s="268">
        <f t="shared" si="2"/>
        <v>-1</v>
      </c>
      <c r="R11" s="348">
        <f>IF(D11=0,"%",P11/D11-1)</f>
        <v>-1</v>
      </c>
      <c r="S11" s="272"/>
      <c r="T11" s="297"/>
    </row>
    <row r="12" spans="1:20" x14ac:dyDescent="0.2">
      <c r="A12" s="298"/>
      <c r="B12" s="173" t="s">
        <v>223</v>
      </c>
      <c r="C12" s="277">
        <f>C10+C8</f>
        <v>334589978</v>
      </c>
      <c r="D12" s="277">
        <f>D10+D8</f>
        <v>347571845</v>
      </c>
      <c r="E12" s="270">
        <f t="shared" ref="E12" si="3">IF(C12=0,"%",D12/C12-1)</f>
        <v>3.8799330086330297E-2</v>
      </c>
      <c r="F12" s="277">
        <f>F10+F8</f>
        <v>357339895</v>
      </c>
      <c r="G12" s="270">
        <f t="shared" si="1"/>
        <v>2.8103686016339946E-2</v>
      </c>
      <c r="H12" s="277">
        <f>H10+H8</f>
        <v>367545530</v>
      </c>
      <c r="I12" s="270">
        <f t="shared" si="1"/>
        <v>2.8560021264907975E-2</v>
      </c>
      <c r="J12" s="277">
        <f>J10+J8</f>
        <v>369484182.67900991</v>
      </c>
      <c r="K12" s="270">
        <f t="shared" si="1"/>
        <v>5.2745919097694216E-3</v>
      </c>
      <c r="L12" s="277">
        <f>L10+L8</f>
        <v>370103108.15014184</v>
      </c>
      <c r="M12" s="270">
        <f t="shared" si="1"/>
        <v>1.6751068114588819E-3</v>
      </c>
      <c r="N12" s="277">
        <f>N10+N8</f>
        <v>372620510.45848447</v>
      </c>
      <c r="O12" s="270">
        <f t="shared" si="1"/>
        <v>6.8018945339993753E-3</v>
      </c>
      <c r="P12" s="277">
        <f>P10+P8</f>
        <v>376171491.29112887</v>
      </c>
      <c r="Q12" s="270">
        <f t="shared" si="1"/>
        <v>9.5297514038483744E-3</v>
      </c>
      <c r="R12" s="348">
        <f>IF(D12=0,"%",P12/D12-1)</f>
        <v>8.2284128310591065E-2</v>
      </c>
      <c r="S12" s="272">
        <f>IFERROR(R12/7,"%")</f>
        <v>1.1754875472941581E-2</v>
      </c>
      <c r="T12" s="297"/>
    </row>
    <row r="13" spans="1:20" x14ac:dyDescent="0.2">
      <c r="A13" s="298"/>
      <c r="B13" s="175" t="s">
        <v>224</v>
      </c>
      <c r="C13" s="290">
        <f>IF(C8+C10=0,"%",C8/(C8+C10))</f>
        <v>0.53438857035939069</v>
      </c>
      <c r="D13" s="290">
        <f>IF(D8+D10=0,"%",D8/(D8+D10))</f>
        <v>0.53409902634662487</v>
      </c>
      <c r="E13" s="291" t="str">
        <f>IF(OR(C13=0,C13="%"),"%",_xlfn.CONCAT(ROUND(D13-C13,3)*100,"pt"))</f>
        <v>0pt</v>
      </c>
      <c r="F13" s="290">
        <f>IF(F8+F10=0,"%",F8/(F8+F10))</f>
        <v>0.52845439214112944</v>
      </c>
      <c r="G13" s="291" t="str">
        <f>IF(OR(D13=0,D13="%"),"%",_xlfn.CONCAT(ROUND(F13-D13,3)*100,"pt"))</f>
        <v>-0.6pt</v>
      </c>
      <c r="H13" s="290">
        <f>IF(H8+H10=0,"%",H8/(H8+H10))</f>
        <v>0.52267025530143163</v>
      </c>
      <c r="I13" s="291" t="str">
        <f>IF(OR(F13=0,F13="%"),"%",_xlfn.CONCAT(ROUND(H13-F13,3)*100,"pt"))</f>
        <v>-0.6pt</v>
      </c>
      <c r="J13" s="290">
        <f>IF(J8+J10=0,"%",J8/(J8+J10))</f>
        <v>0.52895652057939313</v>
      </c>
      <c r="K13" s="291" t="str">
        <f>IF(OR(H13=0,H13="%"),"%",_xlfn.CONCAT(ROUND(J13-H13,3)*100,"pt"))</f>
        <v>0.6pt</v>
      </c>
      <c r="L13" s="290">
        <f>IF(L8+L10=0,"%",L8/(L8+L10))</f>
        <v>0.53727506408693637</v>
      </c>
      <c r="M13" s="291" t="str">
        <f>IF(OR(J13=0,J13="%"),"%",_xlfn.CONCAT(ROUND(L13-J13,3)*100,"pt"))</f>
        <v>0.8pt</v>
      </c>
      <c r="N13" s="290">
        <f>IF(N8+N10=0,"%",N8/(N8+N10))</f>
        <v>0.5429785365532811</v>
      </c>
      <c r="O13" s="291" t="str">
        <f>IF(OR(L13=0,L13="%"),"%",_xlfn.CONCAT(ROUND(N13-L13,3)*100,"pt"))</f>
        <v>0.6pt</v>
      </c>
      <c r="P13" s="290">
        <f>IF(P8+P10=0,"%",P8/(P8+P10))</f>
        <v>0.54729272434894904</v>
      </c>
      <c r="Q13" s="291" t="str">
        <f>IF(OR(N13=0,N13="%"),"%",_xlfn.CONCAT(ROUND(P13-N13,3)*100,"pt"))</f>
        <v>0.4pt</v>
      </c>
      <c r="R13" s="349" t="str">
        <f>IF(OR(C13=0,C13="%"),"%",_xlfn.CONCAT(ROUND(P13-C13,3)*100,"pt"))</f>
        <v>1.3pt</v>
      </c>
      <c r="S13" s="337" t="str">
        <f>IFERROR(R13/7,"%")</f>
        <v>%</v>
      </c>
      <c r="T13" s="297"/>
    </row>
    <row r="14" spans="1:20" x14ac:dyDescent="0.2">
      <c r="A14" s="298"/>
      <c r="B14" s="174" t="s">
        <v>225</v>
      </c>
      <c r="C14" s="282">
        <f>'4-Academic-Financial'!D5</f>
        <v>354413989</v>
      </c>
      <c r="D14" s="282">
        <f>'4-Academic-Financial'!D6</f>
        <v>351071845</v>
      </c>
      <c r="E14" s="283">
        <f t="shared" si="0"/>
        <v>-9.4300566674302422E-3</v>
      </c>
      <c r="F14" s="282">
        <f>$D$14+F15-F16</f>
        <v>360839895</v>
      </c>
      <c r="G14" s="283">
        <f t="shared" si="1"/>
        <v>2.782350717984805E-2</v>
      </c>
      <c r="H14" s="282">
        <f>$D$14+H15-H16</f>
        <v>371045531</v>
      </c>
      <c r="I14" s="283">
        <f t="shared" si="2"/>
        <v>2.8283003463350331E-2</v>
      </c>
      <c r="J14" s="282">
        <f>$D$14+J15-J16</f>
        <v>376502086</v>
      </c>
      <c r="K14" s="283">
        <f t="shared" si="2"/>
        <v>1.47058906363704E-2</v>
      </c>
      <c r="L14" s="282">
        <f>$D$14+L15-L16</f>
        <v>384566321</v>
      </c>
      <c r="M14" s="283">
        <f t="shared" si="2"/>
        <v>2.1418832192074522E-2</v>
      </c>
      <c r="N14" s="282">
        <f>$D$14+N15-N16</f>
        <v>392818276</v>
      </c>
      <c r="O14" s="283">
        <f t="shared" si="2"/>
        <v>2.1457820275426531E-2</v>
      </c>
      <c r="P14" s="282">
        <f>$D$14+P15-P16</f>
        <v>401262513</v>
      </c>
      <c r="Q14" s="283">
        <f t="shared" si="2"/>
        <v>2.1496548190135689E-2</v>
      </c>
      <c r="R14" s="347">
        <f>IF(C14=0,"%",P14/C14-1)</f>
        <v>0.13218587712123298</v>
      </c>
      <c r="S14" s="336">
        <f>IFERROR(R14/7,"%")</f>
        <v>1.8883696731604709E-2</v>
      </c>
      <c r="T14" s="297"/>
    </row>
    <row r="15" spans="1:20" x14ac:dyDescent="0.2">
      <c r="A15" s="298"/>
      <c r="B15" s="173" t="s">
        <v>226</v>
      </c>
      <c r="C15" s="277"/>
      <c r="D15" s="242"/>
      <c r="E15" s="268"/>
      <c r="F15" s="242">
        <f>'4-Academic-Financial'!E29</f>
        <v>11550301</v>
      </c>
      <c r="G15" s="268"/>
      <c r="H15" s="242">
        <f>'4-Academic-Financial'!I29</f>
        <v>21762557</v>
      </c>
      <c r="I15" s="268">
        <f t="shared" si="2"/>
        <v>0.8841549670437161</v>
      </c>
      <c r="J15" s="242">
        <f>'4-Academic-Financial'!M29</f>
        <v>27219112</v>
      </c>
      <c r="K15" s="268">
        <f t="shared" si="2"/>
        <v>0.25073133639581058</v>
      </c>
      <c r="L15" s="242">
        <f>'4-Academic-Financial'!N29</f>
        <v>35283347</v>
      </c>
      <c r="M15" s="268">
        <f t="shared" si="2"/>
        <v>0.29627105395649944</v>
      </c>
      <c r="N15" s="242">
        <f>'4-Academic-Financial'!O29</f>
        <v>43535302</v>
      </c>
      <c r="O15" s="268">
        <f t="shared" si="2"/>
        <v>0.23387676344877373</v>
      </c>
      <c r="P15" s="242">
        <f>'4-Academic-Financial'!P29</f>
        <v>51979539</v>
      </c>
      <c r="Q15" s="268">
        <f t="shared" si="2"/>
        <v>0.19396298204156248</v>
      </c>
      <c r="R15" s="348">
        <f>IF(F15=0,"%",P15/F15-1)</f>
        <v>3.5002757071006201</v>
      </c>
      <c r="S15" s="272"/>
      <c r="T15" s="297"/>
    </row>
    <row r="16" spans="1:20" x14ac:dyDescent="0.2">
      <c r="A16" s="298"/>
      <c r="B16" s="175" t="s">
        <v>227</v>
      </c>
      <c r="C16" s="284"/>
      <c r="D16" s="285"/>
      <c r="E16" s="286"/>
      <c r="F16" s="287">
        <f>'4-Academic-Financial'!F29</f>
        <v>1782251</v>
      </c>
      <c r="G16" s="286"/>
      <c r="H16" s="287">
        <f>'4-Academic-Financial'!J29</f>
        <v>1788871</v>
      </c>
      <c r="I16" s="286">
        <f t="shared" si="2"/>
        <v>3.7144038634289167E-3</v>
      </c>
      <c r="J16" s="287">
        <f>H16</f>
        <v>1788871</v>
      </c>
      <c r="K16" s="286"/>
      <c r="L16" s="287">
        <f>J16</f>
        <v>1788871</v>
      </c>
      <c r="M16" s="286"/>
      <c r="N16" s="287">
        <f>L16</f>
        <v>1788871</v>
      </c>
      <c r="O16" s="286"/>
      <c r="P16" s="287">
        <f>N16</f>
        <v>1788871</v>
      </c>
      <c r="Q16" s="286"/>
      <c r="R16" s="350"/>
      <c r="S16" s="337"/>
      <c r="T16" s="297"/>
    </row>
    <row r="17" spans="1:20" x14ac:dyDescent="0.2">
      <c r="A17" s="298"/>
      <c r="B17" s="255" t="s">
        <v>228</v>
      </c>
      <c r="C17" s="235">
        <f>C12-C14</f>
        <v>-19824011</v>
      </c>
      <c r="D17" s="235">
        <f>D12-D14</f>
        <v>-3500000</v>
      </c>
      <c r="E17" s="243">
        <f t="shared" si="0"/>
        <v>-0.82344642565018755</v>
      </c>
      <c r="F17" s="235">
        <f>F12-F14</f>
        <v>-3500000</v>
      </c>
      <c r="G17" s="243">
        <f t="shared" si="1"/>
        <v>0</v>
      </c>
      <c r="H17" s="235">
        <f>H12-H14</f>
        <v>-3500001</v>
      </c>
      <c r="I17" s="244">
        <f t="shared" si="2"/>
        <v>2.8571428578594293E-7</v>
      </c>
      <c r="J17" s="235">
        <f>J12-J14</f>
        <v>-7017903.3209900856</v>
      </c>
      <c r="K17" s="244">
        <f t="shared" si="2"/>
        <v>1.0051146616786926</v>
      </c>
      <c r="L17" s="235">
        <f>L12-L14</f>
        <v>-14463212.849858165</v>
      </c>
      <c r="M17" s="244">
        <f t="shared" si="2"/>
        <v>1.0609022650112108</v>
      </c>
      <c r="N17" s="235">
        <f>N12-N14</f>
        <v>-20197765.541515529</v>
      </c>
      <c r="O17" s="244">
        <f t="shared" si="2"/>
        <v>0.39649231129953266</v>
      </c>
      <c r="P17" s="235">
        <f>P12-P14</f>
        <v>-25091021.708871126</v>
      </c>
      <c r="Q17" s="244">
        <f t="shared" si="2"/>
        <v>0.24226720313678984</v>
      </c>
      <c r="R17" s="351">
        <f>IF(F17=0,"%",P17/F17-1)</f>
        <v>6.1688633453917507</v>
      </c>
      <c r="S17" s="338">
        <f>IFERROR(R17/7,"%")</f>
        <v>0.88126619219882152</v>
      </c>
      <c r="T17" s="297"/>
    </row>
    <row r="18" spans="1:20" ht="13.5" thickBot="1" x14ac:dyDescent="0.25">
      <c r="A18" s="298"/>
      <c r="B18" s="256" t="s">
        <v>229</v>
      </c>
      <c r="C18" s="257">
        <f>C17</f>
        <v>-19824011</v>
      </c>
      <c r="D18" s="258">
        <f>D17-C17</f>
        <v>16324011</v>
      </c>
      <c r="E18" s="259">
        <f t="shared" si="0"/>
        <v>-1.8234464256501877</v>
      </c>
      <c r="F18" s="260">
        <f>F17-D17</f>
        <v>0</v>
      </c>
      <c r="G18" s="259">
        <f t="shared" si="1"/>
        <v>-1</v>
      </c>
      <c r="H18" s="260">
        <f>H17-F17</f>
        <v>-1</v>
      </c>
      <c r="I18" s="261" t="str">
        <f t="shared" si="2"/>
        <v>%</v>
      </c>
      <c r="J18" s="260">
        <f>J17-H17</f>
        <v>-3517902.3209900856</v>
      </c>
      <c r="K18" s="261">
        <f t="shared" si="2"/>
        <v>3517901.3209900856</v>
      </c>
      <c r="L18" s="260">
        <f>L17-J17</f>
        <v>-7445309.5288680792</v>
      </c>
      <c r="M18" s="261">
        <f t="shared" si="2"/>
        <v>1.116405985591054</v>
      </c>
      <c r="N18" s="260">
        <f>N17-L17</f>
        <v>-5734552.6916573644</v>
      </c>
      <c r="O18" s="261">
        <f t="shared" si="2"/>
        <v>-0.22977645597909802</v>
      </c>
      <c r="P18" s="260">
        <f>P17-N17</f>
        <v>-4893256.167355597</v>
      </c>
      <c r="Q18" s="261">
        <f t="shared" si="2"/>
        <v>-0.14670656449380726</v>
      </c>
      <c r="R18" s="352" t="str">
        <f>IF(F18=0,"%",P18/F18-1)</f>
        <v>%</v>
      </c>
      <c r="S18" s="339" t="str">
        <f>IFERROR(R18/7,"%")</f>
        <v>%</v>
      </c>
      <c r="T18" s="297"/>
    </row>
    <row r="19" spans="1:20" x14ac:dyDescent="0.2">
      <c r="A19" s="298"/>
      <c r="B19" s="169"/>
      <c r="C19" s="169"/>
      <c r="D19" s="169"/>
      <c r="E19" s="169"/>
      <c r="F19" s="169"/>
      <c r="G19" s="169"/>
      <c r="H19" s="169"/>
      <c r="I19" s="169"/>
      <c r="J19" s="169"/>
      <c r="K19" s="169"/>
      <c r="L19" s="169"/>
      <c r="M19" s="169"/>
      <c r="N19" s="169"/>
      <c r="O19" s="169"/>
      <c r="P19" s="169"/>
      <c r="Q19" s="169"/>
      <c r="R19" s="169"/>
      <c r="S19" s="169"/>
      <c r="T19" s="297"/>
    </row>
    <row r="20" spans="1:20" ht="13.5" thickBot="1" x14ac:dyDescent="0.25">
      <c r="A20" s="298"/>
      <c r="B20" s="169"/>
      <c r="C20" s="169"/>
      <c r="D20" s="169"/>
      <c r="E20" s="169"/>
      <c r="F20" s="169"/>
      <c r="G20" s="169"/>
      <c r="H20" s="169"/>
      <c r="I20" s="169"/>
      <c r="J20" s="245"/>
      <c r="K20" s="169"/>
      <c r="L20" s="169"/>
      <c r="M20" s="169"/>
      <c r="N20" s="169"/>
      <c r="O20" s="169"/>
      <c r="P20" s="169"/>
      <c r="Q20" s="169"/>
      <c r="R20" s="169"/>
      <c r="S20" s="169"/>
      <c r="T20" s="297"/>
    </row>
    <row r="21" spans="1:20" s="169" customFormat="1" ht="13.5" thickBot="1" x14ac:dyDescent="0.25">
      <c r="A21" s="298"/>
      <c r="B21" s="302" t="s">
        <v>230</v>
      </c>
      <c r="C21" s="303"/>
      <c r="D21" s="303"/>
      <c r="E21" s="303"/>
      <c r="F21" s="303"/>
      <c r="G21" s="303"/>
      <c r="H21" s="303"/>
      <c r="I21" s="303"/>
      <c r="J21" s="303"/>
      <c r="K21" s="303"/>
      <c r="L21" s="303"/>
      <c r="M21" s="303"/>
      <c r="N21" s="303"/>
      <c r="O21" s="303"/>
      <c r="P21" s="303"/>
      <c r="Q21" s="303"/>
      <c r="R21" s="353"/>
      <c r="S21" s="340"/>
      <c r="T21" s="297"/>
    </row>
    <row r="22" spans="1:20" s="169" customFormat="1" x14ac:dyDescent="0.2">
      <c r="A22" s="298"/>
      <c r="B22" s="172"/>
      <c r="C22" s="246" t="s">
        <v>89</v>
      </c>
      <c r="D22" s="246" t="s">
        <v>90</v>
      </c>
      <c r="E22" s="247" t="s">
        <v>369</v>
      </c>
      <c r="F22" s="248" t="s">
        <v>164</v>
      </c>
      <c r="G22" s="247" t="s">
        <v>369</v>
      </c>
      <c r="H22" s="248" t="s">
        <v>165</v>
      </c>
      <c r="I22" s="247" t="s">
        <v>369</v>
      </c>
      <c r="J22" s="249" t="s">
        <v>166</v>
      </c>
      <c r="K22" s="247" t="s">
        <v>369</v>
      </c>
      <c r="L22" s="249" t="s">
        <v>167</v>
      </c>
      <c r="M22" s="247" t="s">
        <v>369</v>
      </c>
      <c r="N22" s="249" t="s">
        <v>168</v>
      </c>
      <c r="O22" s="247" t="s">
        <v>369</v>
      </c>
      <c r="P22" s="249" t="s">
        <v>169</v>
      </c>
      <c r="Q22" s="247" t="s">
        <v>369</v>
      </c>
      <c r="R22" s="354" t="s">
        <v>372</v>
      </c>
      <c r="S22" s="341" t="s">
        <v>373</v>
      </c>
      <c r="T22" s="297"/>
    </row>
    <row r="23" spans="1:20" s="169" customFormat="1" x14ac:dyDescent="0.2">
      <c r="A23" s="298"/>
      <c r="B23" s="274" t="s">
        <v>231</v>
      </c>
      <c r="C23" s="275">
        <f>C13</f>
        <v>0.53438857035939069</v>
      </c>
      <c r="D23" s="275">
        <f>C23</f>
        <v>0.53438857035939069</v>
      </c>
      <c r="E23" s="271" t="str">
        <f>IF(OR(C23=0,C23="%"),"%",_xlfn.CONCAT(ROUND(D23-C23,3)*100,"pt"))</f>
        <v>0pt</v>
      </c>
      <c r="F23" s="275">
        <f>D23</f>
        <v>0.53438857035939069</v>
      </c>
      <c r="G23" s="271" t="str">
        <f>IF(OR(D23=0,D23="%"),"%",_xlfn.CONCAT(ROUND(F23-D23,3)*100,"pt"))</f>
        <v>0pt</v>
      </c>
      <c r="H23" s="275">
        <f>F23</f>
        <v>0.53438857035939069</v>
      </c>
      <c r="I23" s="271" t="str">
        <f>IF(OR(F23=0,F23="%"),"%",_xlfn.CONCAT(ROUND(H23-F23,3)*100,"pt"))</f>
        <v>0pt</v>
      </c>
      <c r="J23" s="276">
        <f>H23</f>
        <v>0.53438857035939069</v>
      </c>
      <c r="K23" s="271" t="str">
        <f>IF(OR(H23=0,H23="%"),"%",_xlfn.CONCAT(ROUND(J23-H23,3)*100,"pt"))</f>
        <v>0pt</v>
      </c>
      <c r="L23" s="276">
        <f>J23</f>
        <v>0.53438857035939069</v>
      </c>
      <c r="M23" s="271" t="str">
        <f>IF(OR(J23=0,J23="%"),"%",_xlfn.CONCAT(ROUND(L23-J23,3)*100,"pt"))</f>
        <v>0pt</v>
      </c>
      <c r="N23" s="276">
        <f>L23</f>
        <v>0.53438857035939069</v>
      </c>
      <c r="O23" s="271" t="str">
        <f>IF(OR(L23=0,L23="%"),"%",_xlfn.CONCAT(ROUND(N23-L23,3)*100,"pt"))</f>
        <v>0pt</v>
      </c>
      <c r="P23" s="276">
        <f>N23</f>
        <v>0.53438857035939069</v>
      </c>
      <c r="Q23" s="271" t="str">
        <f>IF(OR(N23=0,N23="%"),"%",_xlfn.CONCAT(ROUND(P23-N23,3)*100,"pt"))</f>
        <v>0pt</v>
      </c>
      <c r="R23" s="355" t="str">
        <f>IF(OR(C23=0,C23="%"),"%",_xlfn.CONCAT(ROUND(P23-C23,3)*100,"pt"))</f>
        <v>0pt</v>
      </c>
      <c r="S23" s="272" t="str">
        <f>IF(OR(C23=0,C23="%"),"%",_xlfn.CONCAT(ROUND((P23-C23)/7,3)*100,"pt"))</f>
        <v>0pt</v>
      </c>
      <c r="T23" s="297"/>
    </row>
    <row r="24" spans="1:20" s="169" customFormat="1" x14ac:dyDescent="0.2">
      <c r="A24" s="298"/>
      <c r="B24" s="173" t="s">
        <v>232</v>
      </c>
      <c r="C24" s="250">
        <f>IF(C10=0,"%",(-C18*(1-C$23))/(C10))</f>
        <v>5.9248669426673631E-2</v>
      </c>
      <c r="D24" s="250">
        <f>IF(D10=0,"%",(-D18*(1-D$23))/(D10))</f>
        <v>-4.6936673188101123E-2</v>
      </c>
      <c r="E24" s="271" t="str">
        <f>IF(OR(C24=0,C24="%"),"%",_xlfn.CONCAT(ROUND(D24-C24,3)*100,"pt"))</f>
        <v>-10.6pt</v>
      </c>
      <c r="F24" s="250">
        <f>IF(F10=0,"%",(-F18*(1-F$23))/(F10))</f>
        <v>0</v>
      </c>
      <c r="G24" s="271" t="str">
        <f>IF(OR(D24=0,D24="%"),"%",_xlfn.CONCAT(ROUND(F24-D24,3)*100,"pt"))</f>
        <v>4.7pt</v>
      </c>
      <c r="H24" s="250">
        <f>IF(H10=0,"%",(-H18*(1-H$23))/(H10))</f>
        <v>2.6539576544809642E-9</v>
      </c>
      <c r="I24" s="271" t="str">
        <f>IF(OR(F24=0,F24="%"),"%",_xlfn.CONCAT(ROUND(H24-F24,3)*100,"pt"))</f>
        <v>%</v>
      </c>
      <c r="J24" s="250">
        <f>IF(J10=0,"%",(-J18*(1-J$23))/(J10))</f>
        <v>9.411320459371297E-3</v>
      </c>
      <c r="K24" s="271" t="str">
        <f>IF(OR(H24=0,H24="%"),"%",_xlfn.CONCAT(ROUND(J24-H24,3)*100,"pt"))</f>
        <v>0.9pt</v>
      </c>
      <c r="L24" s="250">
        <f>IF(L10=0,"%",(-L18*(1-L$23))/(L10))</f>
        <v>2.0242341810626497E-2</v>
      </c>
      <c r="M24" s="271" t="str">
        <f>IF(OR(J24=0,J24="%"),"%",_xlfn.CONCAT(ROUND(L24-J24,3)*100,"pt"))</f>
        <v>1.1pt</v>
      </c>
      <c r="N24" s="250">
        <f>IF(N10=0,"%",(-N18*(1-N$23))/(N10))</f>
        <v>1.5679052963227032E-2</v>
      </c>
      <c r="O24" s="271" t="str">
        <f>IF(OR(L24=0,L24="%"),"%",_xlfn.CONCAT(ROUND(N24-L24,3)*100,"pt"))</f>
        <v>-0.5pt</v>
      </c>
      <c r="P24" s="250">
        <f>IF(P10=0,"%",(-P18*(1-P$23))/(P10))</f>
        <v>1.3378832968475545E-2</v>
      </c>
      <c r="Q24" s="271" t="str">
        <f>IF(OR(N24=0,N24="%"),"%",_xlfn.CONCAT(ROUND(P24-N24,3)*100,"pt"))</f>
        <v>-0.2pt</v>
      </c>
      <c r="R24" s="355" t="str">
        <f>IF(OR(C24=0,C24="%"),"%",_xlfn.CONCAT(ROUND(P24-C24,3)*100,"pt"))</f>
        <v>-4.6pt</v>
      </c>
      <c r="S24" s="272" t="str">
        <f t="shared" ref="S24:S25" si="4">IF(OR(C24=0,C24="%"),"%",_xlfn.CONCAT(ROUND((P24-C24)/7,3)*100,"pt"))</f>
        <v>-0.7pt</v>
      </c>
      <c r="T24" s="297"/>
    </row>
    <row r="25" spans="1:20" s="169" customFormat="1" ht="13.5" thickBot="1" x14ac:dyDescent="0.25">
      <c r="A25" s="298"/>
      <c r="B25" s="262" t="s">
        <v>233</v>
      </c>
      <c r="C25" s="236">
        <f>IF(C8=0,"%",(-C18*C$23)/C8)</f>
        <v>5.9248669426673617E-2</v>
      </c>
      <c r="D25" s="236">
        <f>IF(D8=0,"%",(-D18*D$23)/D8)</f>
        <v>-4.6991322094326264E-2</v>
      </c>
      <c r="E25" s="273" t="str">
        <f>IF(OR(C25=0,C25="%"),"%",_xlfn.CONCAT(ROUND(D25-C25,3)*100,"pt"))</f>
        <v>-10.6pt</v>
      </c>
      <c r="F25" s="236">
        <f>IF(F8=0,"%",(-F18*F$23)/F8)</f>
        <v>0</v>
      </c>
      <c r="G25" s="273" t="str">
        <f>IF(OR(D25=0,D25="%"),"%",_xlfn.CONCAT(ROUND(F25-D25,3)*100,"pt"))</f>
        <v>4.7pt</v>
      </c>
      <c r="H25" s="236">
        <f>IF(H8=0,"%",(-H18*H$23)/H8)</f>
        <v>2.7817508533161122E-9</v>
      </c>
      <c r="I25" s="273" t="str">
        <f>IF(OR(F25=0,F25="%"),"%",_xlfn.CONCAT(ROUND(H25-F25,3)*100,"pt"))</f>
        <v>%</v>
      </c>
      <c r="J25" s="236">
        <f>IF(J8=0,"%",(-J18*J$23)/J8)</f>
        <v>9.6188933794889176E-3</v>
      </c>
      <c r="K25" s="273" t="str">
        <f>IF(OR(H25=0,H25="%"),"%",_xlfn.CONCAT(ROUND(J25-H25,3)*100,"pt"))</f>
        <v>1pt</v>
      </c>
      <c r="L25" s="236">
        <f>IF(L8=0,"%",(-L18*L$23)/L8)</f>
        <v>2.000877504066079E-2</v>
      </c>
      <c r="M25" s="273" t="str">
        <f>IF(OR(J25=0,J25="%"),"%",_xlfn.CONCAT(ROUND(L25-J25,3)*100,"pt"))</f>
        <v>1pt</v>
      </c>
      <c r="N25" s="236">
        <f>IF(N8=0,"%",(-N18*N$23)/N8)</f>
        <v>1.5146325622275462E-2</v>
      </c>
      <c r="O25" s="273" t="str">
        <f>IF(OR(L25=0,L25="%"),"%",_xlfn.CONCAT(ROUND(N25-L25,3)*100,"pt"))</f>
        <v>-0.5pt</v>
      </c>
      <c r="P25" s="236">
        <f>IF(P8=0,"%",(-P18*P$23)/P8)</f>
        <v>1.2701340516062792E-2</v>
      </c>
      <c r="Q25" s="273" t="str">
        <f>IF(OR(N25=0,N25="%"),"%",_xlfn.CONCAT(ROUND(P25-N25,3)*100,"pt"))</f>
        <v>-0.2pt</v>
      </c>
      <c r="R25" s="356" t="str">
        <f>IF(OR(C25=0,C25="%"),"%",_xlfn.CONCAT(ROUND(P25-C25,3)*100,"pt"))</f>
        <v>-4.7pt</v>
      </c>
      <c r="S25" s="342" t="str">
        <f t="shared" si="4"/>
        <v>-0.7pt</v>
      </c>
      <c r="T25" s="297"/>
    </row>
    <row r="26" spans="1:20" s="169" customFormat="1" x14ac:dyDescent="0.2">
      <c r="A26" s="298"/>
      <c r="T26" s="297"/>
    </row>
    <row r="27" spans="1:20" ht="13.5" thickBot="1" x14ac:dyDescent="0.25">
      <c r="A27" s="298"/>
      <c r="B27" s="169"/>
      <c r="C27" s="169"/>
      <c r="D27" s="169"/>
      <c r="E27" s="169"/>
      <c r="F27" s="169"/>
      <c r="G27" s="169"/>
      <c r="H27" s="169"/>
      <c r="I27" s="169"/>
      <c r="J27" s="169"/>
      <c r="K27" s="169"/>
      <c r="L27" s="169"/>
      <c r="M27" s="169"/>
      <c r="N27" s="169"/>
      <c r="O27" s="169"/>
      <c r="P27" s="169"/>
      <c r="Q27" s="169"/>
      <c r="R27" s="169"/>
      <c r="S27" s="169"/>
      <c r="T27" s="297"/>
    </row>
    <row r="28" spans="1:20" x14ac:dyDescent="0.2">
      <c r="A28" s="298"/>
      <c r="B28" s="497" t="s">
        <v>234</v>
      </c>
      <c r="C28" s="279" t="s">
        <v>235</v>
      </c>
      <c r="D28" s="280">
        <v>0</v>
      </c>
      <c r="E28" s="171" t="s">
        <v>236</v>
      </c>
      <c r="F28" s="171"/>
      <c r="G28" s="171"/>
      <c r="H28" s="171"/>
      <c r="I28" s="171"/>
      <c r="J28" s="171"/>
      <c r="K28" s="171"/>
      <c r="L28" s="171"/>
      <c r="M28" s="171"/>
      <c r="N28" s="171"/>
      <c r="O28" s="171"/>
      <c r="P28" s="171"/>
      <c r="Q28" s="171"/>
      <c r="R28" s="171"/>
      <c r="S28" s="263"/>
      <c r="T28" s="297"/>
    </row>
    <row r="29" spans="1:20" x14ac:dyDescent="0.2">
      <c r="A29" s="298"/>
      <c r="B29" s="498"/>
      <c r="C29" s="241" t="s">
        <v>237</v>
      </c>
      <c r="D29" s="281">
        <v>0</v>
      </c>
      <c r="E29" s="169"/>
      <c r="F29" s="169"/>
      <c r="G29" s="169"/>
      <c r="H29" s="169"/>
      <c r="I29" s="169"/>
      <c r="J29" s="169"/>
      <c r="K29" s="169"/>
      <c r="L29" s="169"/>
      <c r="M29" s="169"/>
      <c r="N29" s="169"/>
      <c r="O29" s="169"/>
      <c r="P29" s="169"/>
      <c r="Q29" s="169"/>
      <c r="R29" s="169"/>
      <c r="S29" s="264"/>
      <c r="T29" s="297"/>
    </row>
    <row r="30" spans="1:20" x14ac:dyDescent="0.2">
      <c r="A30" s="298"/>
      <c r="B30" s="498"/>
      <c r="C30" s="241" t="s">
        <v>238</v>
      </c>
      <c r="D30" s="281">
        <v>0</v>
      </c>
      <c r="E30" s="169"/>
      <c r="F30" s="169"/>
      <c r="G30" s="169"/>
      <c r="H30" s="169"/>
      <c r="I30" s="169"/>
      <c r="J30" s="169"/>
      <c r="K30" s="169"/>
      <c r="L30" s="169"/>
      <c r="M30" s="169"/>
      <c r="N30" s="169"/>
      <c r="O30" s="169"/>
      <c r="P30" s="169"/>
      <c r="Q30" s="169"/>
      <c r="R30" s="169"/>
      <c r="S30" s="264"/>
      <c r="T30" s="297"/>
    </row>
    <row r="31" spans="1:20" ht="13.5" thickBot="1" x14ac:dyDescent="0.25">
      <c r="A31" s="298"/>
      <c r="B31" s="499"/>
      <c r="C31" s="278" t="s">
        <v>239</v>
      </c>
      <c r="D31" s="267">
        <f>SUM(D28:D30)</f>
        <v>0</v>
      </c>
      <c r="E31" s="241"/>
      <c r="F31" s="169"/>
      <c r="G31" s="169"/>
      <c r="H31" s="169"/>
      <c r="I31" s="169"/>
      <c r="J31" s="169"/>
      <c r="K31" s="169"/>
      <c r="L31" s="169"/>
      <c r="M31" s="169"/>
      <c r="N31" s="169"/>
      <c r="O31" s="169"/>
      <c r="P31" s="169"/>
      <c r="Q31" s="169"/>
      <c r="R31" s="169"/>
      <c r="S31" s="264"/>
      <c r="T31" s="297"/>
    </row>
    <row r="32" spans="1:20" ht="13.5" thickBot="1" x14ac:dyDescent="0.25">
      <c r="A32" s="298"/>
      <c r="B32" s="172"/>
      <c r="C32" s="169"/>
      <c r="D32" s="169"/>
      <c r="E32" s="169"/>
      <c r="F32" s="169"/>
      <c r="G32" s="169"/>
      <c r="H32" s="169"/>
      <c r="I32" s="169"/>
      <c r="J32" s="169"/>
      <c r="K32" s="169"/>
      <c r="L32" s="169"/>
      <c r="M32" s="169"/>
      <c r="N32" s="169"/>
      <c r="O32" s="169"/>
      <c r="P32" s="169"/>
      <c r="Q32" s="169"/>
      <c r="R32" s="169"/>
      <c r="S32" s="343"/>
      <c r="T32" s="297"/>
    </row>
    <row r="33" spans="1:20" x14ac:dyDescent="0.2">
      <c r="A33" s="298"/>
      <c r="B33" s="308"/>
      <c r="C33" s="304" t="s">
        <v>89</v>
      </c>
      <c r="D33" s="304" t="s">
        <v>90</v>
      </c>
      <c r="E33" s="305" t="s">
        <v>369</v>
      </c>
      <c r="F33" s="306" t="s">
        <v>164</v>
      </c>
      <c r="G33" s="305" t="s">
        <v>369</v>
      </c>
      <c r="H33" s="306" t="s">
        <v>165</v>
      </c>
      <c r="I33" s="305" t="s">
        <v>369</v>
      </c>
      <c r="J33" s="307" t="s">
        <v>166</v>
      </c>
      <c r="K33" s="305" t="s">
        <v>369</v>
      </c>
      <c r="L33" s="307" t="s">
        <v>167</v>
      </c>
      <c r="M33" s="305" t="s">
        <v>369</v>
      </c>
      <c r="N33" s="307" t="s">
        <v>168</v>
      </c>
      <c r="O33" s="305" t="s">
        <v>369</v>
      </c>
      <c r="P33" s="307" t="s">
        <v>169</v>
      </c>
      <c r="Q33" s="305" t="s">
        <v>369</v>
      </c>
      <c r="R33" s="357" t="s">
        <v>372</v>
      </c>
      <c r="S33" s="334" t="s">
        <v>373</v>
      </c>
      <c r="T33" s="297"/>
    </row>
    <row r="34" spans="1:20" x14ac:dyDescent="0.2">
      <c r="A34" s="298"/>
      <c r="B34" s="173" t="s">
        <v>240</v>
      </c>
      <c r="C34" s="237">
        <f>IF(C14=0,"%",(-C18*$D$28)/C14)</f>
        <v>0</v>
      </c>
      <c r="D34" s="237">
        <f>IF(D14=0,"%",(-D18*$D$28)/D14)</f>
        <v>0</v>
      </c>
      <c r="E34" s="271" t="str">
        <f>IF(OR(C34=0,C34="%"),"%",_xlfn.CONCAT(ROUND(D34-C34,3)*100,"pt"))</f>
        <v>%</v>
      </c>
      <c r="F34" s="237">
        <f>IF(F14=0,"%",(-F18*$D$28)/F14)</f>
        <v>0</v>
      </c>
      <c r="G34" s="271" t="str">
        <f>IF(OR(D34=0,D34="%"),"%",_xlfn.CONCAT(ROUND(F34-D34,3)*100,"pt"))</f>
        <v>%</v>
      </c>
      <c r="H34" s="237">
        <f>IF(H14=0,"%",(-H18*$D$28)/H14)</f>
        <v>0</v>
      </c>
      <c r="I34" s="271" t="str">
        <f>IF(OR(F34=0,F34="%"),"%",_xlfn.CONCAT(ROUND(H34-F34,3)*100,"pt"))</f>
        <v>%</v>
      </c>
      <c r="J34" s="237">
        <f>IF(J14=0,"%",(-J18*$D$28)/J14)</f>
        <v>0</v>
      </c>
      <c r="K34" s="271" t="str">
        <f>IF(OR(H34=0,H34="%"),"%",_xlfn.CONCAT(ROUND(J34-H34,3)*100,"pt"))</f>
        <v>%</v>
      </c>
      <c r="L34" s="237">
        <f>IF(L14=0,"%",(-L18*$D$28)/L14)</f>
        <v>0</v>
      </c>
      <c r="M34" s="271" t="str">
        <f>IF(OR(J34=0,J34="%"),"%",_xlfn.CONCAT(ROUND(L34-J34,3)*100,"pt"))</f>
        <v>%</v>
      </c>
      <c r="N34" s="237">
        <f>IF(N14=0,"%",(-N18*$D$28)/N14)</f>
        <v>0</v>
      </c>
      <c r="O34" s="271" t="str">
        <f>IF(OR(L34=0,L34="%"),"%",_xlfn.CONCAT(ROUND(N34-L34,3)*100,"pt"))</f>
        <v>%</v>
      </c>
      <c r="P34" s="237">
        <f>IF(P14=0,"%",(-P18*$D$28)/P14)</f>
        <v>0</v>
      </c>
      <c r="Q34" s="271" t="str">
        <f>IF(OR(N34=0,N34="%"),"%",_xlfn.CONCAT(ROUND(P34-N34,3)*100,"pt"))</f>
        <v>%</v>
      </c>
      <c r="R34" s="355" t="str">
        <f>IF(OR(C34=0,C34="%"),"%",_xlfn.CONCAT(ROUND(P34-C34,3)*100,"pt"))</f>
        <v>%</v>
      </c>
      <c r="S34" s="272" t="str">
        <f t="shared" ref="S34:S37" si="5">IF(OR(C34=0,C34="%"),"%",_xlfn.CONCAT(ROUND((P34-C34)/7,3)*100,"pt"))</f>
        <v>%</v>
      </c>
      <c r="T34" s="297"/>
    </row>
    <row r="35" spans="1:20" x14ac:dyDescent="0.2">
      <c r="A35" s="298"/>
      <c r="B35" s="173" t="s">
        <v>241</v>
      </c>
      <c r="C35" s="237">
        <f>IF(C10=0,"%",(-C18*$D$29)/(C10))</f>
        <v>0</v>
      </c>
      <c r="D35" s="237">
        <f>IF(D10=0,"%",(-D18*$D$29)/(D10))</f>
        <v>0</v>
      </c>
      <c r="E35" s="271" t="str">
        <f>IF(OR(C35=0,C35="%"),"%",_xlfn.CONCAT(ROUND(D35-C35,3)*100,"pt"))</f>
        <v>%</v>
      </c>
      <c r="F35" s="237">
        <f>IF(F10=0,"%",(-F18*$D$29)/(F10))</f>
        <v>0</v>
      </c>
      <c r="G35" s="271" t="str">
        <f>IF(OR(D35=0,D35="%"),"%",_xlfn.CONCAT(ROUND(F35-D35,3)*100,"pt"))</f>
        <v>%</v>
      </c>
      <c r="H35" s="237">
        <f>IF(H10=0,"%",(-H18*$D$29)/(H10))</f>
        <v>0</v>
      </c>
      <c r="I35" s="271" t="str">
        <f>IF(OR(F35=0,F35="%"),"%",_xlfn.CONCAT(ROUND(H35-F35,3)*100,"pt"))</f>
        <v>%</v>
      </c>
      <c r="J35" s="237">
        <f>IF(J10=0,"%",(-J18*$D$29)/(J10))</f>
        <v>0</v>
      </c>
      <c r="K35" s="271" t="str">
        <f>IF(OR(H35=0,H35="%"),"%",_xlfn.CONCAT(ROUND(J35-H35,3)*100,"pt"))</f>
        <v>%</v>
      </c>
      <c r="L35" s="237">
        <f>IF(L10=0,"%",(-L18*$D$29)/(L10))</f>
        <v>0</v>
      </c>
      <c r="M35" s="271" t="str">
        <f>IF(OR(J35=0,J35="%"),"%",_xlfn.CONCAT(ROUND(L35-J35,3)*100,"pt"))</f>
        <v>%</v>
      </c>
      <c r="N35" s="237">
        <f>IF(N10=0,"%",(-N18*$D$29)/(N10))</f>
        <v>0</v>
      </c>
      <c r="O35" s="271" t="str">
        <f>IF(OR(L35=0,L35="%"),"%",_xlfn.CONCAT(ROUND(N35-L35,3)*100,"pt"))</f>
        <v>%</v>
      </c>
      <c r="P35" s="237">
        <f>IF(P10=0,"%",(-P18*$D$29)/(P10))</f>
        <v>0</v>
      </c>
      <c r="Q35" s="271" t="str">
        <f>IF(OR(N35=0,N35="%"),"%",_xlfn.CONCAT(ROUND(P35-N35,3)*100,"pt"))</f>
        <v>%</v>
      </c>
      <c r="R35" s="355" t="str">
        <f>IF(OR(C35=0,C35="%"),"%",_xlfn.CONCAT(ROUND(P35-C35,3)*100,"pt"))</f>
        <v>%</v>
      </c>
      <c r="S35" s="272" t="str">
        <f t="shared" si="5"/>
        <v>%</v>
      </c>
      <c r="T35" s="297"/>
    </row>
    <row r="36" spans="1:20" x14ac:dyDescent="0.2">
      <c r="A36" s="298"/>
      <c r="B36" s="173" t="s">
        <v>233</v>
      </c>
      <c r="C36" s="237">
        <f>IF(C8=0,"%",(-C18*$D$30)/C8)</f>
        <v>0</v>
      </c>
      <c r="D36" s="237">
        <f>IF(D8=0,"%",(-D18*$D$30)/D8)</f>
        <v>0</v>
      </c>
      <c r="E36" s="271" t="str">
        <f>IF(OR(C36=0,C36="%"),"%",_xlfn.CONCAT(ROUND(D36-C36,3)*100,"pt"))</f>
        <v>%</v>
      </c>
      <c r="F36" s="237">
        <f>IF(F8=0,"%",(-F18*$D$30)/F8)</f>
        <v>0</v>
      </c>
      <c r="G36" s="271" t="str">
        <f>IF(OR(D36=0,D36="%"),"%",_xlfn.CONCAT(ROUND(F36-D36,3)*100,"pt"))</f>
        <v>%</v>
      </c>
      <c r="H36" s="237">
        <f>IF(H8=0,"%",(-H18*$D$30)/H8)</f>
        <v>0</v>
      </c>
      <c r="I36" s="271" t="str">
        <f>IF(OR(F36=0,F36="%"),"%",_xlfn.CONCAT(ROUND(H36-F36,3)*100,"pt"))</f>
        <v>%</v>
      </c>
      <c r="J36" s="237">
        <f>IF(J8=0,"%",(-J18*$D$30)/J8)</f>
        <v>0</v>
      </c>
      <c r="K36" s="271" t="str">
        <f>IF(OR(H36=0,H36="%"),"%",_xlfn.CONCAT(ROUND(J36-H36,3)*100,"pt"))</f>
        <v>%</v>
      </c>
      <c r="L36" s="237">
        <f>IF(L8=0,"%",(-L18*$D$30)/L8)</f>
        <v>0</v>
      </c>
      <c r="M36" s="271" t="str">
        <f>IF(OR(J36=0,J36="%"),"%",_xlfn.CONCAT(ROUND(L36-J36,3)*100,"pt"))</f>
        <v>%</v>
      </c>
      <c r="N36" s="237">
        <f>IF(N8=0,"%",(-N18*$D$30)/N8)</f>
        <v>0</v>
      </c>
      <c r="O36" s="271" t="str">
        <f>IF(OR(L36=0,L36="%"),"%",_xlfn.CONCAT(ROUND(N36-L36,3)*100,"pt"))</f>
        <v>%</v>
      </c>
      <c r="P36" s="237">
        <f>IF(P8=0,"%",(-P18*$D$30)/P8)</f>
        <v>0</v>
      </c>
      <c r="Q36" s="271" t="str">
        <f>IF(OR(N36=0,N36="%"),"%",_xlfn.CONCAT(ROUND(P36-N36,3)*100,"pt"))</f>
        <v>%</v>
      </c>
      <c r="R36" s="355" t="str">
        <f>IF(OR(C36=0,C36="%"),"%",_xlfn.CONCAT(ROUND(P36-C36,3)*100,"pt"))</f>
        <v>%</v>
      </c>
      <c r="S36" s="272" t="str">
        <f t="shared" si="5"/>
        <v>%</v>
      </c>
      <c r="T36" s="297"/>
    </row>
    <row r="37" spans="1:20" ht="13.5" thickBot="1" x14ac:dyDescent="0.25">
      <c r="A37" s="298"/>
      <c r="B37" s="265" t="s">
        <v>224</v>
      </c>
      <c r="C37" s="266">
        <f>IF(C8=0,"%",((1+C36)*C8)/(((1+C35)*C10)+((1+C36)*C8)))</f>
        <v>0.53438857035939069</v>
      </c>
      <c r="D37" s="266">
        <f>IF(D8=0,"%",((1+D36)*D8)/(((1+D35)*D10)+((1+D36)*D8)))</f>
        <v>0.53409902634662487</v>
      </c>
      <c r="E37" s="273" t="str">
        <f>IF(OR(C37=0,C37="%"),"%",_xlfn.CONCAT(ROUND(D37-C37,3)*100,"pt"))</f>
        <v>0pt</v>
      </c>
      <c r="F37" s="266">
        <f>IF(F8=0,"%",((1+F36)*F8)/(((1+F35)*F10)+((1+F36)*F8)))</f>
        <v>0.52845439214112944</v>
      </c>
      <c r="G37" s="273" t="str">
        <f>IF(OR(D37=0,D37="%"),"%",_xlfn.CONCAT(ROUND(F37-D37,3)*100,"pt"))</f>
        <v>-0.6pt</v>
      </c>
      <c r="H37" s="266">
        <f>IF(H8=0,"%",((1+H36)*H8)/(((1+H35)*H10)+((1+H36)*H8)))</f>
        <v>0.52267025530143163</v>
      </c>
      <c r="I37" s="273" t="str">
        <f>IF(OR(F37=0,F37="%"),"%",_xlfn.CONCAT(ROUND(H37-F37,3)*100,"pt"))</f>
        <v>-0.6pt</v>
      </c>
      <c r="J37" s="266">
        <f>IF(J8=0,"%",((1+J36)*J8)/(((1+J35)*J10)+((1+J36)*J8)))</f>
        <v>0.52895652057939313</v>
      </c>
      <c r="K37" s="273" t="str">
        <f>IF(OR(H37=0,H37="%"),"%",_xlfn.CONCAT(ROUND(J37-H37,3)*100,"pt"))</f>
        <v>0.6pt</v>
      </c>
      <c r="L37" s="266">
        <f>IF(L8=0,"%",((1+L36)*L8)/(((1+L35)*L10)+((1+L36)*L8)))</f>
        <v>0.53727506408693637</v>
      </c>
      <c r="M37" s="273" t="str">
        <f>IF(OR(J37=0,J37="%"),"%",_xlfn.CONCAT(ROUND(L37-J37,3)*100,"pt"))</f>
        <v>0.8pt</v>
      </c>
      <c r="N37" s="266">
        <f>IF(N8=0,"%",((1+N36)*N8)/(((1+N35)*N10)+((1+N36)*N8)))</f>
        <v>0.5429785365532811</v>
      </c>
      <c r="O37" s="273" t="str">
        <f>IF(OR(L37=0,L37="%"),"%",_xlfn.CONCAT(ROUND(N37-L37,3)*100,"pt"))</f>
        <v>0.6pt</v>
      </c>
      <c r="P37" s="266">
        <f>IF(P8=0,"%",((1+P36)*P8)/(((1+P35)*P10)+((1+P36)*P8)))</f>
        <v>0.54729272434894904</v>
      </c>
      <c r="Q37" s="273" t="str">
        <f>IF(OR(N37=0,N37="%"),"%",_xlfn.CONCAT(ROUND(P37-N37,3)*100,"pt"))</f>
        <v>0.4pt</v>
      </c>
      <c r="R37" s="356" t="str">
        <f>IF(OR(C37=0,C37="%"),"%",_xlfn.CONCAT(ROUND(P37-C37,3)*100,"pt"))</f>
        <v>1.3pt</v>
      </c>
      <c r="S37" s="342" t="str">
        <f t="shared" si="5"/>
        <v>0.2pt</v>
      </c>
      <c r="T37" s="297"/>
    </row>
    <row r="38" spans="1:20" x14ac:dyDescent="0.2">
      <c r="A38" s="298"/>
      <c r="B38" s="169"/>
      <c r="C38" s="169"/>
      <c r="D38" s="169"/>
      <c r="E38" s="169"/>
      <c r="F38" s="169"/>
      <c r="G38" s="169"/>
      <c r="H38" s="169"/>
      <c r="I38" s="169"/>
      <c r="J38" s="169"/>
      <c r="K38" s="169"/>
      <c r="L38" s="169"/>
      <c r="M38" s="169"/>
      <c r="N38" s="169"/>
      <c r="O38" s="169"/>
      <c r="P38" s="169"/>
      <c r="Q38" s="169"/>
      <c r="R38" s="169"/>
      <c r="S38" s="169"/>
      <c r="T38" s="297"/>
    </row>
    <row r="39" spans="1:20" x14ac:dyDescent="0.2">
      <c r="A39" s="298"/>
      <c r="B39" s="169"/>
      <c r="C39" s="169"/>
      <c r="D39" s="169"/>
      <c r="E39" s="169"/>
      <c r="F39" s="169"/>
      <c r="G39" s="169"/>
      <c r="H39" s="169"/>
      <c r="I39" s="169"/>
      <c r="J39" s="169"/>
      <c r="K39" s="169"/>
      <c r="L39" s="169"/>
      <c r="M39" s="169"/>
      <c r="N39" s="169"/>
      <c r="O39" s="169"/>
      <c r="P39" s="169"/>
      <c r="Q39" s="169"/>
      <c r="R39" s="169"/>
      <c r="S39" s="169"/>
      <c r="T39" s="297"/>
    </row>
    <row r="40" spans="1:20" x14ac:dyDescent="0.2">
      <c r="A40" s="300"/>
      <c r="B40" s="170"/>
      <c r="C40" s="170"/>
      <c r="D40" s="170"/>
      <c r="E40" s="170"/>
      <c r="F40" s="170"/>
      <c r="G40" s="170"/>
      <c r="H40" s="170"/>
      <c r="I40" s="170"/>
      <c r="J40" s="170"/>
      <c r="K40" s="170"/>
      <c r="L40" s="170"/>
      <c r="M40" s="170"/>
      <c r="N40" s="170"/>
      <c r="O40" s="170"/>
      <c r="P40" s="170"/>
      <c r="Q40" s="170"/>
      <c r="R40" s="170"/>
      <c r="S40" s="170"/>
      <c r="T40" s="301"/>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tabSelected="1" zoomScale="80" zoomScaleNormal="80" workbookViewId="0">
      <selection activeCell="A3" sqref="A3:H4"/>
    </sheetView>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6384" width="9.140625" style="1"/>
  </cols>
  <sheetData>
    <row r="1" spans="1:8" ht="20.100000000000001" customHeight="1" x14ac:dyDescent="0.2">
      <c r="A1" s="58" t="s">
        <v>242</v>
      </c>
      <c r="B1" s="58"/>
      <c r="C1" s="58"/>
      <c r="D1" s="58"/>
      <c r="E1" s="58"/>
      <c r="F1" s="58"/>
      <c r="G1" s="58"/>
    </row>
    <row r="2" spans="1:8" ht="20.100000000000001" customHeight="1" x14ac:dyDescent="0.2">
      <c r="A2" s="510" t="str">
        <f>'Institution ID'!C3</f>
        <v>Old Dominion University</v>
      </c>
      <c r="B2" s="510"/>
      <c r="C2" s="510"/>
      <c r="D2" s="510"/>
      <c r="E2" s="510"/>
      <c r="F2" s="510"/>
      <c r="G2" s="510"/>
    </row>
    <row r="3" spans="1:8" s="6" customFormat="1" ht="30" customHeight="1" x14ac:dyDescent="0.2">
      <c r="A3" s="503" t="s">
        <v>27</v>
      </c>
      <c r="B3" s="503"/>
      <c r="C3" s="503"/>
      <c r="D3" s="503"/>
      <c r="E3" s="503"/>
      <c r="F3" s="503"/>
      <c r="G3" s="503"/>
      <c r="H3" s="503"/>
    </row>
    <row r="4" spans="1:8" s="6" customFormat="1" ht="114" customHeight="1" thickBot="1" x14ac:dyDescent="0.25">
      <c r="A4" s="518"/>
      <c r="B4" s="518"/>
      <c r="C4" s="518"/>
      <c r="D4" s="518"/>
      <c r="E4" s="518"/>
      <c r="F4" s="518"/>
      <c r="G4" s="518"/>
      <c r="H4" s="518"/>
    </row>
    <row r="5" spans="1:8" s="3" customFormat="1" ht="20.100000000000001" customHeight="1" thickBot="1" x14ac:dyDescent="0.25">
      <c r="A5" s="511" t="s">
        <v>243</v>
      </c>
      <c r="B5" s="505" t="s">
        <v>244</v>
      </c>
      <c r="C5" s="506"/>
      <c r="D5" s="506"/>
      <c r="E5" s="506"/>
      <c r="F5" s="506"/>
      <c r="G5" s="506"/>
      <c r="H5" s="507" t="s">
        <v>245</v>
      </c>
    </row>
    <row r="6" spans="1:8" s="3" customFormat="1" ht="20.100000000000001" customHeight="1" thickBot="1" x14ac:dyDescent="0.25">
      <c r="A6" s="512"/>
      <c r="B6" s="48"/>
      <c r="C6" s="385"/>
      <c r="D6" s="505" t="s">
        <v>246</v>
      </c>
      <c r="E6" s="506"/>
      <c r="F6" s="506"/>
      <c r="G6" s="506"/>
      <c r="H6" s="508"/>
    </row>
    <row r="7" spans="1:8" s="3" customFormat="1" ht="20.100000000000001" customHeight="1" thickBot="1" x14ac:dyDescent="0.25">
      <c r="A7" s="512"/>
      <c r="B7" s="507" t="s">
        <v>247</v>
      </c>
      <c r="C7" s="515" t="s">
        <v>248</v>
      </c>
      <c r="D7" s="506"/>
      <c r="E7" s="506"/>
      <c r="F7" s="506"/>
      <c r="G7" s="506"/>
      <c r="H7" s="508"/>
    </row>
    <row r="8" spans="1:8" s="3" customFormat="1" ht="20.100000000000001" customHeight="1" thickBot="1" x14ac:dyDescent="0.25">
      <c r="A8" s="512"/>
      <c r="B8" s="508"/>
      <c r="C8" s="516"/>
      <c r="D8" s="505" t="s">
        <v>164</v>
      </c>
      <c r="E8" s="506"/>
      <c r="F8" s="509" t="s">
        <v>165</v>
      </c>
      <c r="G8" s="506"/>
      <c r="H8" s="508"/>
    </row>
    <row r="9" spans="1:8" s="3" customFormat="1" ht="42" customHeight="1" thickBot="1" x14ac:dyDescent="0.25">
      <c r="A9" s="513"/>
      <c r="B9" s="514"/>
      <c r="C9" s="517"/>
      <c r="D9" s="59" t="s">
        <v>172</v>
      </c>
      <c r="E9" s="60" t="s">
        <v>249</v>
      </c>
      <c r="F9" s="61" t="s">
        <v>172</v>
      </c>
      <c r="G9" s="60" t="s">
        <v>249</v>
      </c>
      <c r="H9" s="508"/>
    </row>
    <row r="10" spans="1:8" ht="72" customHeight="1" thickBot="1" x14ac:dyDescent="0.25">
      <c r="A10" s="407">
        <v>1</v>
      </c>
      <c r="B10" s="408" t="s">
        <v>360</v>
      </c>
      <c r="C10" s="49" t="s">
        <v>260</v>
      </c>
      <c r="D10" s="409">
        <v>11400000</v>
      </c>
      <c r="E10" s="409">
        <v>11400000</v>
      </c>
      <c r="F10" s="409">
        <v>11400000</v>
      </c>
      <c r="G10" s="409">
        <v>11400000</v>
      </c>
      <c r="H10" s="410" t="s">
        <v>362</v>
      </c>
    </row>
    <row r="11" spans="1:8" ht="93.75" customHeight="1" thickBot="1" x14ac:dyDescent="0.25">
      <c r="A11" s="407">
        <v>2</v>
      </c>
      <c r="B11" s="408" t="s">
        <v>361</v>
      </c>
      <c r="C11" s="49" t="s">
        <v>260</v>
      </c>
      <c r="D11" s="409">
        <v>9114010</v>
      </c>
      <c r="E11" s="409">
        <v>9114010</v>
      </c>
      <c r="F11" s="409">
        <v>9114010</v>
      </c>
      <c r="G11" s="409">
        <v>9114010</v>
      </c>
      <c r="H11" s="411" t="s">
        <v>363</v>
      </c>
    </row>
    <row r="12" spans="1:8" ht="20.100000000000001" customHeight="1" thickBot="1" x14ac:dyDescent="0.25">
      <c r="A12" s="44"/>
      <c r="B12" s="45"/>
      <c r="C12" s="49"/>
      <c r="D12" s="42">
        <f>0</f>
        <v>0</v>
      </c>
      <c r="E12" s="42">
        <f>0</f>
        <v>0</v>
      </c>
      <c r="F12" s="42">
        <f>0</f>
        <v>0</v>
      </c>
      <c r="G12" s="42">
        <f>0</f>
        <v>0</v>
      </c>
      <c r="H12" s="378"/>
    </row>
    <row r="13" spans="1:8" ht="20.100000000000001" customHeight="1" thickBot="1" x14ac:dyDescent="0.25">
      <c r="A13" s="44"/>
      <c r="B13" s="45"/>
      <c r="C13" s="49"/>
      <c r="D13" s="42">
        <f>0</f>
        <v>0</v>
      </c>
      <c r="E13" s="42">
        <f>0</f>
        <v>0</v>
      </c>
      <c r="F13" s="42">
        <f>0</f>
        <v>0</v>
      </c>
      <c r="G13" s="42">
        <f>0</f>
        <v>0</v>
      </c>
      <c r="H13" s="378"/>
    </row>
    <row r="14" spans="1:8" ht="20.100000000000001" customHeight="1" thickBot="1" x14ac:dyDescent="0.25">
      <c r="A14" s="44"/>
      <c r="B14" s="45"/>
      <c r="C14" s="49"/>
      <c r="D14" s="42">
        <f>0</f>
        <v>0</v>
      </c>
      <c r="E14" s="42">
        <f>0</f>
        <v>0</v>
      </c>
      <c r="F14" s="42">
        <f>0</f>
        <v>0</v>
      </c>
      <c r="G14" s="42">
        <f>0</f>
        <v>0</v>
      </c>
      <c r="H14" s="378"/>
    </row>
    <row r="15" spans="1:8" ht="20.100000000000001" customHeight="1" thickBot="1" x14ac:dyDescent="0.25">
      <c r="A15" s="44"/>
      <c r="B15" s="45"/>
      <c r="C15" s="49"/>
      <c r="D15" s="42">
        <f>0</f>
        <v>0</v>
      </c>
      <c r="E15" s="42">
        <f>0</f>
        <v>0</v>
      </c>
      <c r="F15" s="42">
        <f>0</f>
        <v>0</v>
      </c>
      <c r="G15" s="42">
        <f>0</f>
        <v>0</v>
      </c>
      <c r="H15" s="378"/>
    </row>
    <row r="16" spans="1:8" ht="20.100000000000001" customHeight="1" thickBot="1" x14ac:dyDescent="0.25">
      <c r="A16" s="44"/>
      <c r="B16" s="45"/>
      <c r="C16" s="49"/>
      <c r="D16" s="42">
        <f>0</f>
        <v>0</v>
      </c>
      <c r="E16" s="42">
        <f>0</f>
        <v>0</v>
      </c>
      <c r="F16" s="42">
        <f>0</f>
        <v>0</v>
      </c>
      <c r="G16" s="42">
        <f>0</f>
        <v>0</v>
      </c>
      <c r="H16" s="378"/>
    </row>
    <row r="17" spans="1:8" ht="20.100000000000001" customHeight="1" thickBot="1" x14ac:dyDescent="0.25">
      <c r="A17" s="44"/>
      <c r="B17" s="45"/>
      <c r="C17" s="49"/>
      <c r="D17" s="42">
        <f>0</f>
        <v>0</v>
      </c>
      <c r="E17" s="42">
        <f>0</f>
        <v>0</v>
      </c>
      <c r="F17" s="42">
        <f>0</f>
        <v>0</v>
      </c>
      <c r="G17" s="42">
        <f>0</f>
        <v>0</v>
      </c>
      <c r="H17" s="378"/>
    </row>
    <row r="18" spans="1:8" ht="20.100000000000001" customHeight="1" thickBot="1" x14ac:dyDescent="0.25">
      <c r="A18" s="44"/>
      <c r="B18" s="45"/>
      <c r="C18" s="49"/>
      <c r="D18" s="42">
        <f>0</f>
        <v>0</v>
      </c>
      <c r="E18" s="42">
        <f>0</f>
        <v>0</v>
      </c>
      <c r="F18" s="42">
        <f>0</f>
        <v>0</v>
      </c>
      <c r="G18" s="42">
        <f>0</f>
        <v>0</v>
      </c>
      <c r="H18" s="378"/>
    </row>
    <row r="19" spans="1:8" ht="20.100000000000001" customHeight="1" thickBot="1" x14ac:dyDescent="0.25">
      <c r="A19" s="44"/>
      <c r="B19" s="45"/>
      <c r="C19" s="49"/>
      <c r="D19" s="42">
        <f>0</f>
        <v>0</v>
      </c>
      <c r="E19" s="42">
        <f>0</f>
        <v>0</v>
      </c>
      <c r="F19" s="42">
        <f>0</f>
        <v>0</v>
      </c>
      <c r="G19" s="42">
        <f>0</f>
        <v>0</v>
      </c>
      <c r="H19" s="378"/>
    </row>
    <row r="20" spans="1:8" ht="20.100000000000001" customHeight="1" thickBot="1" x14ac:dyDescent="0.25">
      <c r="A20" s="44"/>
      <c r="B20" s="45"/>
      <c r="C20" s="49"/>
      <c r="D20" s="42">
        <f>0</f>
        <v>0</v>
      </c>
      <c r="E20" s="42">
        <f>0</f>
        <v>0</v>
      </c>
      <c r="F20" s="42">
        <f>0</f>
        <v>0</v>
      </c>
      <c r="G20" s="42">
        <f>0</f>
        <v>0</v>
      </c>
      <c r="H20" s="378"/>
    </row>
    <row r="21" spans="1:8" ht="20.100000000000001" customHeight="1" thickBot="1" x14ac:dyDescent="0.25">
      <c r="A21" s="44"/>
      <c r="B21" s="45"/>
      <c r="C21" s="49"/>
      <c r="D21" s="42">
        <f>0</f>
        <v>0</v>
      </c>
      <c r="E21" s="42">
        <f>0</f>
        <v>0</v>
      </c>
      <c r="F21" s="42">
        <f>0</f>
        <v>0</v>
      </c>
      <c r="G21" s="42">
        <f>0</f>
        <v>0</v>
      </c>
      <c r="H21" s="378"/>
    </row>
    <row r="22" spans="1:8" ht="20.100000000000001" customHeight="1" thickTop="1" thickBot="1" x14ac:dyDescent="0.25">
      <c r="A22" s="46"/>
      <c r="B22" s="47"/>
      <c r="C22" s="50"/>
      <c r="D22" s="43">
        <f>0</f>
        <v>0</v>
      </c>
      <c r="E22" s="43">
        <f>0</f>
        <v>0</v>
      </c>
      <c r="F22" s="43">
        <f>0</f>
        <v>0</v>
      </c>
      <c r="G22" s="43">
        <f>0</f>
        <v>0</v>
      </c>
      <c r="H22" s="378"/>
    </row>
    <row r="23" spans="1:8" ht="20.100000000000001" customHeight="1" thickTop="1" thickBot="1" x14ac:dyDescent="0.25">
      <c r="A23" s="46"/>
      <c r="B23" s="47"/>
      <c r="C23" s="50"/>
      <c r="D23" s="55">
        <f>0</f>
        <v>0</v>
      </c>
      <c r="E23" s="55">
        <f>0</f>
        <v>0</v>
      </c>
      <c r="F23" s="55">
        <f>0</f>
        <v>0</v>
      </c>
      <c r="G23" s="55">
        <f>0</f>
        <v>0</v>
      </c>
      <c r="H23" s="378"/>
    </row>
    <row r="24" spans="1:8" ht="15.75" thickTop="1" x14ac:dyDescent="0.2">
      <c r="A24" s="112"/>
      <c r="B24" s="112"/>
      <c r="C24" s="52"/>
      <c r="D24" s="51">
        <f t="shared" ref="D24:G24" si="0">SUM(D10:D23)</f>
        <v>20514010</v>
      </c>
      <c r="E24" s="53">
        <f t="shared" si="0"/>
        <v>20514010</v>
      </c>
      <c r="F24" s="54">
        <f t="shared" si="0"/>
        <v>20514010</v>
      </c>
      <c r="G24" s="53">
        <f t="shared" si="0"/>
        <v>20514010</v>
      </c>
      <c r="H24" s="112"/>
    </row>
    <row r="25" spans="1:8" x14ac:dyDescent="0.2">
      <c r="B25" s="504"/>
      <c r="C25" s="504"/>
      <c r="D25" s="504"/>
      <c r="E25" s="504"/>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2.xml><?xml version="1.0" encoding="utf-8"?>
<ds:datastoreItem xmlns:ds="http://schemas.openxmlformats.org/officeDocument/2006/customXml" ds:itemID="{B173ED9B-A135-4073-9603-C359238DEB16}">
  <ds:schemaRefs>
    <ds:schemaRef ds:uri="http://schemas.microsoft.com/office/infopath/2007/PartnerControls"/>
    <ds:schemaRef ds:uri="http://schemas.microsoft.com/office/2006/metadata/properties"/>
    <ds:schemaRef ds:uri="http://purl.org/dc/elements/1.1/"/>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 ds:uri="ddc65b31-a060-480a-81d9-6b17f0889f8e"/>
    <ds:schemaRef ds:uri="38c402c2-6fdf-4d72-aec6-7f8f98d5ea78"/>
  </ds:schemaRefs>
</ds:datastoreItem>
</file>

<file path=customXml/itemProps3.xml><?xml version="1.0" encoding="utf-8"?>
<ds:datastoreItem xmlns:ds="http://schemas.openxmlformats.org/officeDocument/2006/customXml" ds:itemID="{C783B876-4D4A-4B94-8FEE-4F40E85130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Henken, Adam</cp:lastModifiedBy>
  <cp:revision/>
  <dcterms:created xsi:type="dcterms:W3CDTF">2011-02-22T14:15:27Z</dcterms:created>
  <dcterms:modified xsi:type="dcterms:W3CDTF">2024-01-09T21:43:21Z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348200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y fmtid="{D5CDD505-2E9C-101B-9397-08002B2CF9AE}" pid="18" name="xd_ProgID">
    <vt:lpwstr/>
  </property>
  <property fmtid="{D5CDD505-2E9C-101B-9397-08002B2CF9AE}" pid="19" name="TemplateUrl">
    <vt:lpwstr/>
  </property>
  <property fmtid="{D5CDD505-2E9C-101B-9397-08002B2CF9AE}" pid="20" name="xd_Signature">
    <vt:bool>false</vt:bool>
  </property>
</Properties>
</file>