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defaultThemeVersion="124226"/>
  <mc:AlternateContent xmlns:mc="http://schemas.openxmlformats.org/markup-compatibility/2006">
    <mc:Choice Requires="x15">
      <x15ac:absPath xmlns:x15ac="http://schemas.microsoft.com/office/spreadsheetml/2010/11/ac" url="https://myuva-my.sharepoint.com/personal/pqc2f_virginia_edu/Documents/Desktop/Projects in Progress/Six-Year Plan/2023/"/>
    </mc:Choice>
  </mc:AlternateContent>
  <xr:revisionPtr revIDLastSave="9" documentId="8_{8021518D-DA68-4630-9AA7-24865B832314}" xr6:coauthVersionLast="47" xr6:coauthVersionMax="47" xr10:uidLastSave="{05014094-FA62-4287-B86A-C0D340E53E50}"/>
  <bookViews>
    <workbookView xWindow="15450" yWindow="1155" windowWidth="33660" windowHeight="19710" tabRatio="659" firstSheet="2" activeTab="5"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externalReferences>
    <externalReference r:id="rId13"/>
  </externalReferences>
  <definedNames>
    <definedName name="_xlnm.Print_Area" localSheetId="5">'4-Academic-Financial'!$A$1:$Q$47</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'4-Academic-Financial'!$1:$10</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2" l="1"/>
  <c r="F23" i="2"/>
  <c r="G32" i="5"/>
  <c r="K32" i="5" s="1"/>
  <c r="M32" i="5" s="1"/>
  <c r="N32" i="5" s="1"/>
  <c r="O32" i="5" s="1"/>
  <c r="P32" i="5" s="1"/>
  <c r="I29" i="5"/>
  <c r="K29" i="5" s="1"/>
  <c r="E29" i="5"/>
  <c r="G29" i="5" s="1"/>
  <c r="G15" i="21"/>
  <c r="E15" i="21"/>
  <c r="I32" i="5" l="1"/>
  <c r="K40" i="5"/>
  <c r="C10" i="2" l="1"/>
  <c r="C8" i="2"/>
  <c r="C9" i="2"/>
  <c r="K21" i="5" l="1"/>
  <c r="K34" i="5"/>
  <c r="J34" i="5"/>
  <c r="F32" i="5"/>
  <c r="F31" i="5"/>
  <c r="G21" i="5" l="1"/>
  <c r="F21" i="5"/>
  <c r="J21" i="5"/>
  <c r="E21" i="5" l="1"/>
  <c r="I21" i="5"/>
  <c r="K37" i="5" l="1"/>
  <c r="J37" i="5"/>
  <c r="G37" i="5"/>
  <c r="F37" i="5"/>
  <c r="J36" i="5"/>
  <c r="G36" i="5"/>
  <c r="F36" i="5"/>
  <c r="J40" i="5"/>
  <c r="I40" i="5" s="1"/>
  <c r="G40" i="5"/>
  <c r="F40" i="5"/>
  <c r="J38" i="5"/>
  <c r="I38" i="5" s="1"/>
  <c r="I27" i="5" l="1"/>
  <c r="I26" i="5"/>
  <c r="I25" i="5"/>
  <c r="E27" i="5"/>
  <c r="E26" i="5"/>
  <c r="E36" i="5"/>
  <c r="C38" i="5"/>
  <c r="C37" i="5"/>
  <c r="C34" i="5"/>
  <c r="F12" i="21"/>
  <c r="E12" i="21"/>
  <c r="G13" i="21"/>
  <c r="F13" i="21"/>
  <c r="L20" i="5"/>
  <c r="L19" i="5"/>
  <c r="L18" i="5"/>
  <c r="L17" i="5"/>
  <c r="H20" i="5"/>
  <c r="H19" i="5"/>
  <c r="H18" i="5"/>
  <c r="H17" i="5"/>
  <c r="E103" i="28"/>
  <c r="E104" i="28"/>
  <c r="E90" i="28"/>
  <c r="E91" i="28"/>
  <c r="E77" i="28"/>
  <c r="E78" i="28"/>
  <c r="E64" i="28"/>
  <c r="E65" i="28"/>
  <c r="E51" i="28"/>
  <c r="E52" i="28"/>
  <c r="E38" i="28"/>
  <c r="E39" i="28"/>
  <c r="E43" i="28"/>
  <c r="E27" i="28"/>
  <c r="E29" i="28"/>
  <c r="E30" i="28"/>
  <c r="E25" i="28"/>
  <c r="E26" i="28"/>
  <c r="E13" i="28"/>
  <c r="E14" i="28"/>
  <c r="E15" i="28"/>
  <c r="E16" i="28"/>
  <c r="E17" i="28"/>
  <c r="E12" i="28"/>
  <c r="Q7" i="2"/>
  <c r="Q8" i="2"/>
  <c r="Q17" i="2"/>
  <c r="Q19" i="2"/>
  <c r="Q20" i="2"/>
  <c r="Q21" i="2"/>
  <c r="Q22" i="2"/>
  <c r="Q23" i="2"/>
  <c r="Q24" i="2"/>
  <c r="Q25" i="2"/>
  <c r="Q26" i="2"/>
  <c r="G12" i="21" l="1"/>
  <c r="K36" i="5"/>
  <c r="I36" i="5" s="1"/>
  <c r="M36" i="5" s="1"/>
  <c r="N36" i="5" s="1"/>
  <c r="O36" i="5" s="1"/>
  <c r="P36" i="5" s="1"/>
  <c r="E40" i="28"/>
  <c r="G31" i="5"/>
  <c r="K31" i="5" s="1"/>
  <c r="M31" i="5" s="1"/>
  <c r="E55" i="28"/>
  <c r="E66" i="28"/>
  <c r="E41" i="28"/>
  <c r="E28" i="28"/>
  <c r="E53" i="28"/>
  <c r="E42" i="28"/>
  <c r="E25" i="5"/>
  <c r="I37" i="5"/>
  <c r="M37" i="5" s="1"/>
  <c r="N37" i="5" s="1"/>
  <c r="O37" i="5" s="1"/>
  <c r="P37" i="5" s="1"/>
  <c r="E37" i="5"/>
  <c r="I20" i="5"/>
  <c r="E19" i="5"/>
  <c r="I17" i="5"/>
  <c r="E20" i="5"/>
  <c r="E17" i="5"/>
  <c r="E18" i="5"/>
  <c r="I19" i="5"/>
  <c r="E16" i="5"/>
  <c r="E24" i="5"/>
  <c r="D20" i="21"/>
  <c r="E20" i="21"/>
  <c r="F20" i="21"/>
  <c r="G20" i="21"/>
  <c r="D21" i="21"/>
  <c r="E21" i="21"/>
  <c r="F21" i="21"/>
  <c r="G21" i="21"/>
  <c r="E54" i="28" l="1"/>
  <c r="E79" i="28"/>
  <c r="E56" i="28"/>
  <c r="E68" i="28"/>
  <c r="N31" i="5"/>
  <c r="I16" i="5"/>
  <c r="G41" i="5"/>
  <c r="I24" i="5"/>
  <c r="E92" i="28" l="1"/>
  <c r="E105" i="28"/>
  <c r="E67" i="28"/>
  <c r="E81" i="28"/>
  <c r="E69" i="28"/>
  <c r="M38" i="5"/>
  <c r="N38" i="5" s="1"/>
  <c r="O38" i="5" s="1"/>
  <c r="P38" i="5" s="1"/>
  <c r="E40" i="5"/>
  <c r="M29" i="5"/>
  <c r="N29" i="5" s="1"/>
  <c r="O29" i="5" s="1"/>
  <c r="P29" i="5" s="1"/>
  <c r="O40" i="5"/>
  <c r="P40" i="5" s="1"/>
  <c r="I34" i="5"/>
  <c r="M34" i="5" s="1"/>
  <c r="N34" i="5" s="1"/>
  <c r="O34" i="5" s="1"/>
  <c r="P34" i="5" s="1"/>
  <c r="I23" i="5"/>
  <c r="E23" i="5"/>
  <c r="H41" i="5"/>
  <c r="E94" i="28" l="1"/>
  <c r="E107" i="28"/>
  <c r="E80" i="28"/>
  <c r="E82" i="28"/>
  <c r="O31" i="5"/>
  <c r="I31" i="5"/>
  <c r="E28" i="5"/>
  <c r="I28" i="5"/>
  <c r="E32" i="5"/>
  <c r="E31" i="5"/>
  <c r="D14" i="34"/>
  <c r="C14" i="34"/>
  <c r="P31" i="5" l="1"/>
  <c r="E93" i="28"/>
  <c r="E106" i="28"/>
  <c r="E95" i="28"/>
  <c r="E108" i="28"/>
  <c r="D33" i="34"/>
  <c r="E24" i="2" l="1"/>
  <c r="F10" i="34" l="1"/>
  <c r="A2" i="34"/>
  <c r="F108" i="28"/>
  <c r="F107" i="28"/>
  <c r="F106" i="28"/>
  <c r="F105" i="28"/>
  <c r="F104" i="28"/>
  <c r="F103" i="28"/>
  <c r="F95" i="28"/>
  <c r="F94" i="28"/>
  <c r="F93" i="28"/>
  <c r="F92" i="28"/>
  <c r="F91" i="28"/>
  <c r="F90" i="28"/>
  <c r="F82" i="28"/>
  <c r="F81" i="28"/>
  <c r="F80" i="28"/>
  <c r="F79" i="28"/>
  <c r="F78" i="28"/>
  <c r="F77" i="28"/>
  <c r="F69" i="28"/>
  <c r="F68" i="28"/>
  <c r="F67" i="28"/>
  <c r="F66" i="28"/>
  <c r="F65" i="28"/>
  <c r="F64" i="28"/>
  <c r="C8" i="34"/>
  <c r="H23" i="2"/>
  <c r="L23" i="2"/>
  <c r="J23" i="2"/>
  <c r="N23" i="2"/>
  <c r="P23" i="2"/>
  <c r="E25" i="2"/>
  <c r="E26" i="2" s="1"/>
  <c r="E96" i="28" l="1"/>
  <c r="F109" i="28"/>
  <c r="G109" i="28"/>
  <c r="F96" i="28"/>
  <c r="G96" i="28"/>
  <c r="C109" i="28"/>
  <c r="E109" i="28"/>
  <c r="C96" i="28"/>
  <c r="G83" i="28"/>
  <c r="J77" i="28"/>
  <c r="K77" i="28" s="1"/>
  <c r="C83" i="28"/>
  <c r="E83" i="28"/>
  <c r="F83" i="28"/>
  <c r="J64" i="28"/>
  <c r="K64" i="28" s="1"/>
  <c r="E70" i="28"/>
  <c r="G70" i="28"/>
  <c r="C70" i="28"/>
  <c r="F70" i="28"/>
  <c r="G25" i="2"/>
  <c r="D8" i="34"/>
  <c r="F25" i="2"/>
  <c r="D25" i="2"/>
  <c r="E8" i="34" l="1"/>
  <c r="H25" i="2"/>
  <c r="I25" i="2"/>
  <c r="J25" i="2"/>
  <c r="K25" i="2" l="1"/>
  <c r="L25" i="2"/>
  <c r="M25" i="2" l="1"/>
  <c r="N25" i="2"/>
  <c r="O25" i="2" l="1"/>
  <c r="P25" i="2" s="1"/>
  <c r="R25" i="2" l="1"/>
  <c r="B64" i="28"/>
  <c r="D64" i="28" s="1"/>
  <c r="B77" i="28"/>
  <c r="D77" i="28" s="1"/>
  <c r="B90" i="28"/>
  <c r="D90" i="28" s="1"/>
  <c r="B103" i="28"/>
  <c r="D103" i="28" s="1"/>
  <c r="B104" i="28"/>
  <c r="B105" i="28"/>
  <c r="B106" i="28"/>
  <c r="L13" i="2"/>
  <c r="N13" i="2"/>
  <c r="P13" i="2"/>
  <c r="L14" i="2"/>
  <c r="N14" i="2"/>
  <c r="P14" i="2"/>
  <c r="I15" i="2"/>
  <c r="K15" i="2"/>
  <c r="M15" i="2"/>
  <c r="O15" i="2"/>
  <c r="I16" i="2"/>
  <c r="L16" i="2" s="1"/>
  <c r="K16" i="2"/>
  <c r="N16" i="2" s="1"/>
  <c r="M16" i="2"/>
  <c r="P16" i="2" s="1"/>
  <c r="O16" i="2"/>
  <c r="Q10" i="2" s="1"/>
  <c r="I17" i="2"/>
  <c r="L17" i="2" s="1"/>
  <c r="K17" i="2"/>
  <c r="N17" i="2" s="1"/>
  <c r="M17" i="2"/>
  <c r="P17" i="2" s="1"/>
  <c r="O17" i="2"/>
  <c r="Q11" i="2" s="1"/>
  <c r="I18" i="2"/>
  <c r="L18" i="2" s="1"/>
  <c r="K18" i="2"/>
  <c r="N18" i="2" s="1"/>
  <c r="M18" i="2"/>
  <c r="P18" i="2" s="1"/>
  <c r="O18" i="2"/>
  <c r="Q12" i="2" s="1"/>
  <c r="I19" i="2"/>
  <c r="L19" i="2" s="1"/>
  <c r="K19" i="2"/>
  <c r="N19" i="2" s="1"/>
  <c r="M19" i="2"/>
  <c r="P19" i="2" s="1"/>
  <c r="O19" i="2"/>
  <c r="Q13" i="2" s="1"/>
  <c r="I20" i="2"/>
  <c r="L20" i="2" s="1"/>
  <c r="K20" i="2"/>
  <c r="N20" i="2" s="1"/>
  <c r="M20" i="2"/>
  <c r="P20" i="2" s="1"/>
  <c r="O20" i="2"/>
  <c r="Q14" i="2" s="1"/>
  <c r="I21" i="2"/>
  <c r="K21" i="2"/>
  <c r="M21" i="2"/>
  <c r="O21" i="2"/>
  <c r="E16" i="29"/>
  <c r="C16" i="29"/>
  <c r="B16" i="29"/>
  <c r="E12" i="29"/>
  <c r="C12" i="29"/>
  <c r="B12" i="29"/>
  <c r="F13" i="29"/>
  <c r="F14" i="29"/>
  <c r="F15" i="29"/>
  <c r="D13" i="29"/>
  <c r="D14" i="29"/>
  <c r="D15" i="29"/>
  <c r="P15" i="2" l="1"/>
  <c r="M24" i="2"/>
  <c r="L15" i="2"/>
  <c r="I24" i="2"/>
  <c r="Q9" i="2"/>
  <c r="O24" i="2"/>
  <c r="N15" i="2"/>
  <c r="K24" i="2"/>
  <c r="P21" i="2"/>
  <c r="H106" i="28"/>
  <c r="I106" i="28" s="1"/>
  <c r="D106" i="28"/>
  <c r="H105" i="28"/>
  <c r="I105" i="28" s="1"/>
  <c r="D105" i="28"/>
  <c r="H104" i="28"/>
  <c r="I104" i="28" s="1"/>
  <c r="D104" i="28"/>
  <c r="F16" i="29"/>
  <c r="F12" i="29"/>
  <c r="N21" i="2"/>
  <c r="L21" i="2"/>
  <c r="D16" i="29"/>
  <c r="D12" i="29"/>
  <c r="B108" i="28"/>
  <c r="P8" i="2"/>
  <c r="B91" i="28"/>
  <c r="N12" i="2"/>
  <c r="B82" i="28"/>
  <c r="N10" i="2"/>
  <c r="B80" i="28"/>
  <c r="N8" i="2"/>
  <c r="B78" i="28"/>
  <c r="L12" i="2"/>
  <c r="B69" i="28"/>
  <c r="L10" i="2"/>
  <c r="B67" i="28"/>
  <c r="L8" i="2"/>
  <c r="B65" i="28"/>
  <c r="B107" i="28"/>
  <c r="H103" i="28"/>
  <c r="P12" i="2"/>
  <c r="B95" i="28"/>
  <c r="P11" i="2"/>
  <c r="B94" i="28"/>
  <c r="P9" i="2"/>
  <c r="B92" i="28"/>
  <c r="H90" i="28"/>
  <c r="N11" i="2"/>
  <c r="B81" i="28"/>
  <c r="N9" i="2"/>
  <c r="B79" i="28"/>
  <c r="H77" i="28"/>
  <c r="P10" i="2"/>
  <c r="B93" i="28"/>
  <c r="L11" i="2"/>
  <c r="B68" i="28"/>
  <c r="L9" i="2"/>
  <c r="B66" i="28"/>
  <c r="H64" i="28"/>
  <c r="P7" i="2"/>
  <c r="N7" i="2"/>
  <c r="L7" i="2"/>
  <c r="M22" i="2"/>
  <c r="R23" i="2"/>
  <c r="O22" i="2"/>
  <c r="K22" i="2"/>
  <c r="I22" i="2"/>
  <c r="P10" i="34" l="1"/>
  <c r="O26" i="2"/>
  <c r="J10" i="34"/>
  <c r="L24" i="2"/>
  <c r="I26" i="2"/>
  <c r="P24" i="2"/>
  <c r="N10" i="34"/>
  <c r="M26" i="2"/>
  <c r="P26" i="2" s="1"/>
  <c r="P22" i="2"/>
  <c r="N24" i="2"/>
  <c r="L10" i="34"/>
  <c r="K26" i="2"/>
  <c r="H107" i="28"/>
  <c r="I107" i="28" s="1"/>
  <c r="D107" i="28"/>
  <c r="H108" i="28"/>
  <c r="I108" i="28" s="1"/>
  <c r="D108" i="28"/>
  <c r="H94" i="28"/>
  <c r="I94" i="28" s="1"/>
  <c r="D94" i="28"/>
  <c r="H93" i="28"/>
  <c r="I93" i="28" s="1"/>
  <c r="D93" i="28"/>
  <c r="H95" i="28"/>
  <c r="I95" i="28" s="1"/>
  <c r="D95" i="28"/>
  <c r="H91" i="28"/>
  <c r="I91" i="28" s="1"/>
  <c r="D91" i="28"/>
  <c r="H92" i="28"/>
  <c r="I92" i="28" s="1"/>
  <c r="D92" i="28"/>
  <c r="H80" i="28"/>
  <c r="I80" i="28" s="1"/>
  <c r="D80" i="28"/>
  <c r="H82" i="28"/>
  <c r="I82" i="28" s="1"/>
  <c r="D82" i="28"/>
  <c r="H81" i="28"/>
  <c r="I81" i="28" s="1"/>
  <c r="D81" i="28"/>
  <c r="L22" i="2"/>
  <c r="H79" i="28"/>
  <c r="I79" i="28" s="1"/>
  <c r="D79" i="28"/>
  <c r="H78" i="28"/>
  <c r="I78" i="28" s="1"/>
  <c r="D78" i="28"/>
  <c r="H65" i="28"/>
  <c r="I65" i="28" s="1"/>
  <c r="D65" i="28"/>
  <c r="H67" i="28"/>
  <c r="I67" i="28" s="1"/>
  <c r="D67" i="28"/>
  <c r="H69" i="28"/>
  <c r="I69" i="28" s="1"/>
  <c r="D69" i="28"/>
  <c r="H68" i="28"/>
  <c r="I68" i="28" s="1"/>
  <c r="D68" i="28"/>
  <c r="H66" i="28"/>
  <c r="I66" i="28" s="1"/>
  <c r="D66" i="28"/>
  <c r="N22" i="2"/>
  <c r="B83" i="28"/>
  <c r="D83" i="28" s="1"/>
  <c r="M41" i="5"/>
  <c r="P41" i="5"/>
  <c r="N41" i="5"/>
  <c r="O41" i="5"/>
  <c r="B70" i="28"/>
  <c r="D70" i="28" s="1"/>
  <c r="I77" i="28"/>
  <c r="B96" i="28"/>
  <c r="D96" i="28" s="1"/>
  <c r="B109" i="28"/>
  <c r="D109" i="28" s="1"/>
  <c r="I64" i="28"/>
  <c r="I90" i="28"/>
  <c r="H96" i="28"/>
  <c r="I96" i="28" s="1"/>
  <c r="N9" i="34" s="1"/>
  <c r="I103" i="28"/>
  <c r="E14" i="34"/>
  <c r="N26" i="2" l="1"/>
  <c r="H109" i="28"/>
  <c r="I109" i="28" s="1"/>
  <c r="P9" i="34" s="1"/>
  <c r="H83" i="28"/>
  <c r="I83" i="28" s="1"/>
  <c r="L9" i="34" s="1"/>
  <c r="O9" i="34" s="1"/>
  <c r="H70" i="28"/>
  <c r="I70" i="28" s="1"/>
  <c r="J9" i="34" s="1"/>
  <c r="M9" i="34" s="1"/>
  <c r="Q9" i="34"/>
  <c r="N15" i="34"/>
  <c r="L15" i="34"/>
  <c r="P15" i="34"/>
  <c r="J15" i="34"/>
  <c r="O10" i="34"/>
  <c r="Q10" i="34"/>
  <c r="N11" i="34"/>
  <c r="P11" i="34"/>
  <c r="L26" i="2"/>
  <c r="M15" i="34" l="1"/>
  <c r="O15" i="34"/>
  <c r="Q15" i="34"/>
  <c r="Q11" i="34"/>
  <c r="M10" i="34"/>
  <c r="L11" i="34"/>
  <c r="O11" i="34" l="1"/>
  <c r="D10" i="29" l="1"/>
  <c r="F10" i="29"/>
  <c r="D11" i="29"/>
  <c r="F11" i="29"/>
  <c r="F9" i="29" l="1"/>
  <c r="D9" i="29"/>
  <c r="A2" i="29" l="1"/>
  <c r="A2" i="28" l="1"/>
  <c r="F56" i="28"/>
  <c r="F55" i="28"/>
  <c r="F54" i="28"/>
  <c r="F53" i="28"/>
  <c r="F52" i="28"/>
  <c r="F51" i="28"/>
  <c r="F43" i="28"/>
  <c r="F42" i="28"/>
  <c r="F41" i="28"/>
  <c r="F40" i="28"/>
  <c r="F39" i="28"/>
  <c r="F38" i="28"/>
  <c r="F30" i="28"/>
  <c r="F29" i="28"/>
  <c r="F28" i="28"/>
  <c r="F27" i="28"/>
  <c r="F26" i="28"/>
  <c r="F25" i="28"/>
  <c r="F17" i="28"/>
  <c r="F16" i="28"/>
  <c r="F15" i="28"/>
  <c r="F14" i="28"/>
  <c r="F13" i="28"/>
  <c r="J12" i="28"/>
  <c r="K12" i="28" s="1"/>
  <c r="F12" i="28"/>
  <c r="F44" i="28" l="1"/>
  <c r="G57" i="28"/>
  <c r="F18" i="28"/>
  <c r="C18" i="28"/>
  <c r="G31" i="28"/>
  <c r="C57" i="28"/>
  <c r="C31" i="28"/>
  <c r="J38" i="28"/>
  <c r="K38" i="28" s="1"/>
  <c r="J51" i="28"/>
  <c r="K51" i="28" s="1"/>
  <c r="E18" i="28"/>
  <c r="J25" i="28"/>
  <c r="K25" i="28" s="1"/>
  <c r="C44" i="28"/>
  <c r="G44" i="28"/>
  <c r="F57" i="28"/>
  <c r="G18" i="28"/>
  <c r="E31" i="28"/>
  <c r="E44" i="28"/>
  <c r="E57" i="28"/>
  <c r="F31" i="28"/>
  <c r="F23" i="21" l="1"/>
  <c r="F22" i="21"/>
  <c r="D23" i="21"/>
  <c r="D22" i="21"/>
  <c r="H34" i="2"/>
  <c r="F34" i="2"/>
  <c r="D34" i="2"/>
  <c r="H32" i="2"/>
  <c r="H31" i="2"/>
  <c r="F32" i="2"/>
  <c r="F31" i="2"/>
  <c r="D32" i="2"/>
  <c r="D31" i="2"/>
  <c r="G23" i="21"/>
  <c r="E23" i="21"/>
  <c r="G22" i="21"/>
  <c r="E22" i="21"/>
  <c r="A2" i="21"/>
  <c r="A2" i="5"/>
  <c r="J11" i="2"/>
  <c r="J12" i="2"/>
  <c r="J13" i="2"/>
  <c r="J14" i="2"/>
  <c r="J15" i="2"/>
  <c r="G16" i="2"/>
  <c r="G17" i="2"/>
  <c r="J17" i="2" s="1"/>
  <c r="G18" i="2"/>
  <c r="J18" i="2" s="1"/>
  <c r="G19" i="2"/>
  <c r="J19" i="2" s="1"/>
  <c r="G20" i="2"/>
  <c r="J20" i="2" s="1"/>
  <c r="H11" i="2"/>
  <c r="H13" i="2"/>
  <c r="H15" i="2"/>
  <c r="H17" i="2"/>
  <c r="H19" i="2"/>
  <c r="H12" i="2"/>
  <c r="H14" i="2"/>
  <c r="H16" i="2"/>
  <c r="H18" i="2"/>
  <c r="H20" i="2"/>
  <c r="F11" i="2"/>
  <c r="F12" i="2"/>
  <c r="F13" i="2"/>
  <c r="F14" i="2"/>
  <c r="F16" i="2"/>
  <c r="F18" i="2"/>
  <c r="C20" i="2"/>
  <c r="F15" i="2"/>
  <c r="F17" i="2"/>
  <c r="F19" i="2"/>
  <c r="R9" i="2"/>
  <c r="B20" i="2"/>
  <c r="B24" i="2" s="1"/>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J16" i="2" l="1"/>
  <c r="G24" i="2"/>
  <c r="F20" i="2"/>
  <c r="C24" i="2"/>
  <c r="D24" i="2" s="1"/>
  <c r="C10" i="34"/>
  <c r="R24" i="2"/>
  <c r="B26" i="2"/>
  <c r="Q18" i="2" s="1"/>
  <c r="D24" i="21"/>
  <c r="E24" i="21"/>
  <c r="G24" i="21"/>
  <c r="F41" i="5"/>
  <c r="L41" i="5"/>
  <c r="J41" i="5"/>
  <c r="E12" i="5"/>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10" i="2"/>
  <c r="B52" i="28"/>
  <c r="J8" i="2"/>
  <c r="B28" i="28"/>
  <c r="F10" i="2"/>
  <c r="B39" i="28"/>
  <c r="H8" i="2"/>
  <c r="B26" i="28"/>
  <c r="F8" i="2"/>
  <c r="B27" i="28"/>
  <c r="F9" i="2"/>
  <c r="B54" i="28"/>
  <c r="J10" i="2"/>
  <c r="B53" i="28"/>
  <c r="J9" i="2"/>
  <c r="B40" i="28"/>
  <c r="H9" i="2"/>
  <c r="B14" i="28"/>
  <c r="D9" i="2"/>
  <c r="B13" i="28"/>
  <c r="B12" i="28"/>
  <c r="D7" i="2"/>
  <c r="E22" i="2"/>
  <c r="G22" i="2"/>
  <c r="J22" i="2" s="1"/>
  <c r="B15" i="28"/>
  <c r="B21" i="2"/>
  <c r="Q15" i="2" s="1"/>
  <c r="B22" i="2"/>
  <c r="Q16" i="2" s="1"/>
  <c r="G21" i="2"/>
  <c r="J21" i="2" s="1"/>
  <c r="E21" i="2"/>
  <c r="C22" i="2"/>
  <c r="C21" i="2"/>
  <c r="F21" i="2" s="1"/>
  <c r="H26" i="9"/>
  <c r="H110" i="9"/>
  <c r="H89" i="9"/>
  <c r="D89" i="9"/>
  <c r="H53" i="9"/>
  <c r="H68" i="9" s="1"/>
  <c r="H38" i="9"/>
  <c r="H47" i="9" s="1"/>
  <c r="F24" i="21"/>
  <c r="I14" i="5"/>
  <c r="I15" i="5"/>
  <c r="B51" i="28"/>
  <c r="C33" i="2"/>
  <c r="B38" i="28"/>
  <c r="B25" i="28"/>
  <c r="G33" i="2"/>
  <c r="B29" i="28"/>
  <c r="B17" i="28"/>
  <c r="B56" i="28"/>
  <c r="E33" i="2"/>
  <c r="B30" i="28"/>
  <c r="B42" i="28"/>
  <c r="B16" i="28"/>
  <c r="B43" i="28"/>
  <c r="B55" i="28"/>
  <c r="B33" i="2"/>
  <c r="E14" i="5"/>
  <c r="I13" i="5"/>
  <c r="E15" i="5"/>
  <c r="E13" i="5"/>
  <c r="I12" i="5"/>
  <c r="R10" i="34" l="1"/>
  <c r="S10" i="34" s="1"/>
  <c r="C13" i="34"/>
  <c r="C12" i="34"/>
  <c r="C17" i="34" s="1"/>
  <c r="C18" i="34" s="1"/>
  <c r="C37" i="34" s="1"/>
  <c r="H17" i="28"/>
  <c r="I17" i="28" s="1"/>
  <c r="D17" i="28"/>
  <c r="H12" i="28"/>
  <c r="I12" i="28" s="1"/>
  <c r="D12" i="28"/>
  <c r="H10" i="34"/>
  <c r="H24" i="2"/>
  <c r="J24" i="2"/>
  <c r="G26" i="2"/>
  <c r="H14" i="28"/>
  <c r="I14" i="28" s="1"/>
  <c r="D14" i="28"/>
  <c r="H15" i="28"/>
  <c r="I15" i="28" s="1"/>
  <c r="D15" i="28"/>
  <c r="C26" i="2"/>
  <c r="I46" i="5"/>
  <c r="F24" i="2"/>
  <c r="D10" i="34"/>
  <c r="H16" i="28"/>
  <c r="I16" i="28" s="1"/>
  <c r="D16" i="28"/>
  <c r="H13" i="28"/>
  <c r="I13" i="28" s="1"/>
  <c r="D13" i="28"/>
  <c r="H51" i="28"/>
  <c r="I51" i="28" s="1"/>
  <c r="D51" i="28"/>
  <c r="H55" i="28"/>
  <c r="I55" i="28" s="1"/>
  <c r="D55" i="28"/>
  <c r="H56" i="28"/>
  <c r="I56" i="28" s="1"/>
  <c r="D56" i="28"/>
  <c r="H54" i="28"/>
  <c r="I54" i="28" s="1"/>
  <c r="D54" i="28"/>
  <c r="H53" i="28"/>
  <c r="I53" i="28" s="1"/>
  <c r="D53" i="28"/>
  <c r="H52" i="28"/>
  <c r="I52" i="28" s="1"/>
  <c r="D52" i="28"/>
  <c r="H40" i="28"/>
  <c r="I40" i="28" s="1"/>
  <c r="D40" i="28"/>
  <c r="H41" i="28"/>
  <c r="I41" i="28" s="1"/>
  <c r="D41" i="28"/>
  <c r="H39" i="28"/>
  <c r="I39" i="28" s="1"/>
  <c r="D39" i="28"/>
  <c r="H42" i="28"/>
  <c r="I42" i="28" s="1"/>
  <c r="D42" i="28"/>
  <c r="H43" i="28"/>
  <c r="I43" i="28" s="1"/>
  <c r="D43" i="28"/>
  <c r="H26" i="28"/>
  <c r="I26" i="28" s="1"/>
  <c r="D26" i="28"/>
  <c r="H28" i="28"/>
  <c r="I28" i="28" s="1"/>
  <c r="D28" i="28"/>
  <c r="H25" i="28"/>
  <c r="I25" i="28" s="1"/>
  <c r="D25" i="28"/>
  <c r="H29" i="28"/>
  <c r="I29" i="28" s="1"/>
  <c r="D29" i="28"/>
  <c r="H27" i="28"/>
  <c r="I27" i="28" s="1"/>
  <c r="D27" i="28"/>
  <c r="H30" i="28"/>
  <c r="I30" i="28" s="1"/>
  <c r="D30" i="28"/>
  <c r="H38" i="28"/>
  <c r="I38" i="28" s="1"/>
  <c r="D38" i="28"/>
  <c r="F16" i="34"/>
  <c r="H16" i="34"/>
  <c r="J16" i="34" s="1"/>
  <c r="L16" i="34" s="1"/>
  <c r="H6" i="5"/>
  <c r="H33" i="2"/>
  <c r="F33" i="2"/>
  <c r="H21" i="2"/>
  <c r="H22" i="2"/>
  <c r="F22" i="2"/>
  <c r="D33" i="2"/>
  <c r="H8" i="34"/>
  <c r="E41" i="5"/>
  <c r="D22" i="2"/>
  <c r="R22" i="2"/>
  <c r="D21" i="2"/>
  <c r="R21" i="2"/>
  <c r="R26" i="2"/>
  <c r="B18" i="28"/>
  <c r="D18" i="28" s="1"/>
  <c r="B31" i="28"/>
  <c r="D31" i="28" s="1"/>
  <c r="B44" i="28"/>
  <c r="D44" i="28" s="1"/>
  <c r="B57" i="28"/>
  <c r="D57" i="28" s="1"/>
  <c r="D12" i="34" l="1"/>
  <c r="D13" i="34"/>
  <c r="H31" i="28"/>
  <c r="I31" i="28" s="1"/>
  <c r="D9" i="34" s="1"/>
  <c r="C38" i="34"/>
  <c r="C39" i="34" s="1"/>
  <c r="C36" i="34"/>
  <c r="H18" i="28"/>
  <c r="I18" i="28" s="1"/>
  <c r="C9" i="34" s="1"/>
  <c r="R9" i="34" s="1"/>
  <c r="S9" i="34" s="1"/>
  <c r="C25" i="34"/>
  <c r="C27" i="34" s="1"/>
  <c r="E13" i="34"/>
  <c r="H44" i="28"/>
  <c r="H57" i="28"/>
  <c r="I57" i="28" s="1"/>
  <c r="H9" i="34" s="1"/>
  <c r="K9" i="34" s="1"/>
  <c r="I44" i="28"/>
  <c r="F9" i="34" s="1"/>
  <c r="J14" i="34"/>
  <c r="I16" i="34"/>
  <c r="F15" i="34"/>
  <c r="R15" i="34" s="1"/>
  <c r="N16" i="34"/>
  <c r="L14" i="34"/>
  <c r="H13" i="34"/>
  <c r="H12" i="34"/>
  <c r="F13" i="34"/>
  <c r="I8" i="34"/>
  <c r="F12" i="34"/>
  <c r="D26" i="2"/>
  <c r="G10" i="34"/>
  <c r="H26" i="2"/>
  <c r="K10" i="34"/>
  <c r="J11" i="34"/>
  <c r="J26" i="2"/>
  <c r="F26" i="2"/>
  <c r="E9" i="34" l="1"/>
  <c r="D25" i="34"/>
  <c r="F25" i="34" s="1"/>
  <c r="E25" i="34"/>
  <c r="C26" i="34"/>
  <c r="E12" i="34"/>
  <c r="D17" i="34"/>
  <c r="G9" i="34"/>
  <c r="I9" i="34"/>
  <c r="F14" i="34"/>
  <c r="G14" i="34" s="1"/>
  <c r="P16" i="34"/>
  <c r="P14" i="34" s="1"/>
  <c r="R14" i="34" s="1"/>
  <c r="S14" i="34" s="1"/>
  <c r="N14" i="34"/>
  <c r="I13" i="34"/>
  <c r="G13" i="34"/>
  <c r="I12" i="34"/>
  <c r="G12" i="34"/>
  <c r="M11" i="34"/>
  <c r="H11" i="34"/>
  <c r="D11" i="34"/>
  <c r="E10" i="34"/>
  <c r="I10" i="34"/>
  <c r="F11" i="34"/>
  <c r="G25" i="34" l="1"/>
  <c r="H25" i="34"/>
  <c r="J25" i="34" s="1"/>
  <c r="I25" i="34"/>
  <c r="E17" i="34"/>
  <c r="D18" i="34"/>
  <c r="F17" i="34"/>
  <c r="G17" i="34" s="1"/>
  <c r="G11" i="34"/>
  <c r="R11" i="34"/>
  <c r="K11" i="34"/>
  <c r="I11" i="34"/>
  <c r="D27" i="34" l="1"/>
  <c r="E27" i="34" s="1"/>
  <c r="D38" i="34"/>
  <c r="D36" i="34"/>
  <c r="E36" i="34" s="1"/>
  <c r="E18" i="34"/>
  <c r="D37" i="34"/>
  <c r="E37" i="34" s="1"/>
  <c r="D26" i="34"/>
  <c r="E26" i="34" s="1"/>
  <c r="K25" i="34"/>
  <c r="L25" i="34"/>
  <c r="F18" i="34"/>
  <c r="F26" i="34" s="1"/>
  <c r="M14" i="34"/>
  <c r="N25" i="34" l="1"/>
  <c r="O25" i="34" s="1"/>
  <c r="M25" i="34"/>
  <c r="E38" i="34"/>
  <c r="D39" i="34"/>
  <c r="E39" i="34" s="1"/>
  <c r="F36" i="34"/>
  <c r="G36" i="34" s="1"/>
  <c r="G18" i="34"/>
  <c r="F38" i="34"/>
  <c r="G38" i="34" s="1"/>
  <c r="F27" i="34"/>
  <c r="G27" i="34" s="1"/>
  <c r="F37" i="34"/>
  <c r="G37" i="34" s="1"/>
  <c r="G26" i="34"/>
  <c r="O14" i="34"/>
  <c r="P25" i="34" l="1"/>
  <c r="Q25" i="34"/>
  <c r="F39" i="34"/>
  <c r="G39" i="34" s="1"/>
  <c r="Q14" i="34"/>
  <c r="R25" i="34" l="1"/>
  <c r="S25" i="34"/>
  <c r="I18" i="5"/>
  <c r="L6" i="5" s="1"/>
  <c r="K41" i="5"/>
  <c r="J8" i="34" l="1"/>
  <c r="L8" i="34"/>
  <c r="P8" i="34"/>
  <c r="N8" i="34"/>
  <c r="J46" i="5"/>
  <c r="I41" i="5"/>
  <c r="H15" i="34" l="1"/>
  <c r="L12" i="34"/>
  <c r="L17" i="34" s="1"/>
  <c r="L13" i="34"/>
  <c r="O8" i="34"/>
  <c r="M8" i="34"/>
  <c r="J13" i="34"/>
  <c r="J12" i="34"/>
  <c r="K8" i="34"/>
  <c r="R8" i="34"/>
  <c r="S8" i="34" s="1"/>
  <c r="P13" i="34"/>
  <c r="R13" i="34" s="1"/>
  <c r="S13" i="34" s="1"/>
  <c r="P12" i="34"/>
  <c r="N13" i="34"/>
  <c r="N12" i="34"/>
  <c r="N17" i="34" s="1"/>
  <c r="Q8" i="34"/>
  <c r="Q13" i="34" l="1"/>
  <c r="O13" i="34"/>
  <c r="Q12" i="34"/>
  <c r="M12" i="34"/>
  <c r="J17" i="34"/>
  <c r="K12" i="34"/>
  <c r="K13" i="34"/>
  <c r="M13" i="34"/>
  <c r="P17" i="34"/>
  <c r="R12" i="34"/>
  <c r="S12" i="34" s="1"/>
  <c r="O12" i="34"/>
  <c r="I15" i="34"/>
  <c r="H14" i="34"/>
  <c r="K15" i="34"/>
  <c r="M17" i="34" l="1"/>
  <c r="P18" i="34"/>
  <c r="P26" i="34" s="1"/>
  <c r="R17" i="34"/>
  <c r="S17" i="34" s="1"/>
  <c r="N18" i="34"/>
  <c r="Q17" i="34"/>
  <c r="L18" i="34"/>
  <c r="O17" i="34"/>
  <c r="K14" i="34"/>
  <c r="H17" i="34"/>
  <c r="I14" i="34"/>
  <c r="P27" i="34" l="1"/>
  <c r="P38" i="34"/>
  <c r="N27" i="34"/>
  <c r="N38" i="34"/>
  <c r="L38" i="34"/>
  <c r="L27" i="34"/>
  <c r="O27" i="34" s="1"/>
  <c r="K17" i="34"/>
  <c r="H18" i="34"/>
  <c r="I17" i="34"/>
  <c r="L36" i="34"/>
  <c r="L26" i="34"/>
  <c r="O18" i="34"/>
  <c r="L37" i="34"/>
  <c r="Q18" i="34"/>
  <c r="N26" i="34"/>
  <c r="N37" i="34"/>
  <c r="N36" i="34"/>
  <c r="P37" i="34"/>
  <c r="P36" i="34"/>
  <c r="R18" i="34"/>
  <c r="S18" i="34" s="1"/>
  <c r="J18" i="34"/>
  <c r="Q27" i="34" l="1"/>
  <c r="O36" i="34"/>
  <c r="S36" i="34"/>
  <c r="R36" i="34"/>
  <c r="Q36" i="34"/>
  <c r="P39" i="34"/>
  <c r="S38" i="34"/>
  <c r="R38" i="34"/>
  <c r="S27" i="34"/>
  <c r="R27" i="34"/>
  <c r="Q38" i="34"/>
  <c r="N39" i="34"/>
  <c r="O37" i="34"/>
  <c r="O38" i="34"/>
  <c r="L39" i="34"/>
  <c r="J27" i="34"/>
  <c r="M27" i="34" s="1"/>
  <c r="J38" i="34"/>
  <c r="R37" i="34"/>
  <c r="S37" i="34"/>
  <c r="Q37" i="34"/>
  <c r="O26" i="34"/>
  <c r="S26" i="34"/>
  <c r="R26" i="34"/>
  <c r="J26" i="34"/>
  <c r="M26" i="34" s="1"/>
  <c r="J36" i="34"/>
  <c r="M36" i="34" s="1"/>
  <c r="M18" i="34"/>
  <c r="J37" i="34"/>
  <c r="M37" i="34" s="1"/>
  <c r="I18" i="34"/>
  <c r="H38" i="34"/>
  <c r="I38" i="34" s="1"/>
  <c r="H26" i="34"/>
  <c r="H27" i="34"/>
  <c r="H37" i="34"/>
  <c r="K18" i="34"/>
  <c r="H36" i="34"/>
  <c r="Q26" i="34"/>
  <c r="Q39" i="34" l="1"/>
  <c r="K36" i="34"/>
  <c r="I36" i="34"/>
  <c r="O39" i="34"/>
  <c r="R39" i="34"/>
  <c r="S39" i="34"/>
  <c r="M38" i="34"/>
  <c r="J39" i="34"/>
  <c r="M39" i="34" s="1"/>
  <c r="K37" i="34"/>
  <c r="I37" i="34"/>
  <c r="H39" i="34"/>
  <c r="K38" i="34"/>
  <c r="K27" i="34"/>
  <c r="I27" i="34"/>
  <c r="K26" i="34"/>
  <c r="I26" i="34"/>
  <c r="K39" i="34" l="1"/>
  <c r="I39" i="34"/>
</calcChain>
</file>

<file path=xl/sharedStrings.xml><?xml version="1.0" encoding="utf-8"?>
<sst xmlns="http://schemas.openxmlformats.org/spreadsheetml/2006/main" count="767" uniqueCount="397">
  <si>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</si>
  <si>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</si>
  <si>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</si>
  <si>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</si>
  <si>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</si>
  <si>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</si>
  <si>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</si>
  <si>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</si>
  <si>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</si>
  <si>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</si>
  <si>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</si>
  <si>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</si>
  <si>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</si>
  <si>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</si>
  <si>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</si>
  <si>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</si>
  <si>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</si>
  <si>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</si>
  <si>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</si>
  <si>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</si>
  <si>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</si>
  <si>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</si>
  <si>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</si>
  <si>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</si>
  <si>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</si>
  <si>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</si>
  <si>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</si>
  <si>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</si>
  <si>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</si>
  <si>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</si>
  <si>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</si>
  <si>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</si>
  <si>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</si>
  <si>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</si>
  <si>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</si>
  <si>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</si>
  <si>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</si>
  <si>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</si>
  <si>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</si>
  <si>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</si>
  <si>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</si>
  <si>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</si>
  <si>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</si>
  <si>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</si>
  <si>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</si>
  <si>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</si>
  <si>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</si>
  <si>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</si>
  <si>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</si>
  <si>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</si>
  <si>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</si>
  <si>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</si>
  <si>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</si>
  <si>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</si>
  <si>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</si>
  <si>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</si>
  <si>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</si>
  <si>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</si>
  <si>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</si>
  <si>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</si>
  <si>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</si>
  <si>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</si>
  <si>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</si>
  <si>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</si>
  <si>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University of Virginia</t>
  </si>
  <si>
    <t>Institution UNITID:</t>
  </si>
  <si>
    <t>207</t>
  </si>
  <si>
    <t>Individual responsible for plan</t>
  </si>
  <si>
    <t>Name(s) &amp; Title(s):</t>
  </si>
  <si>
    <t>Colette Sheehy, Senior Vice President for Operations &amp; State Government Relations</t>
  </si>
  <si>
    <t>Email address(es):</t>
  </si>
  <si>
    <t>cc@virginia.edu</t>
  </si>
  <si>
    <t>Telephone number(s):</t>
  </si>
  <si>
    <t>434.924.3349</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</si>
  <si>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</si>
  <si>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</si>
  <si>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</si>
  <si>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</si>
  <si>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</si>
  <si>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</si>
  <si>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</si>
  <si>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</si>
  <si>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</si>
  <si>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</si>
  <si>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</si>
  <si>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</si>
  <si>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</si>
  <si>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</si>
  <si>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</si>
  <si>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</si>
  <si>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</si>
  <si>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</si>
  <si>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</si>
  <si>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</si>
  <si>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</si>
  <si>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</si>
  <si>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</si>
  <si>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</si>
  <si>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</si>
  <si>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</si>
  <si>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</si>
  <si>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</si>
  <si>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</si>
  <si>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</si>
  <si>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</si>
  <si>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</si>
  <si>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</si>
  <si>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</si>
  <si>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</si>
  <si>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</si>
  <si>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</si>
  <si>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</si>
  <si>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</si>
  <si>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</si>
  <si>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</si>
  <si>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</si>
  <si>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</si>
  <si>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</si>
  <si>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</si>
  <si>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</si>
  <si>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</si>
  <si>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</si>
  <si>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</si>
  <si>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</si>
  <si>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</si>
  <si>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</si>
  <si>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</si>
  <si>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</si>
  <si>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</si>
  <si>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</si>
  <si>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</si>
  <si>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</si>
  <si>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</si>
  <si>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</si>
  <si>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</si>
  <si>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</si>
  <si>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</si>
  <si>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</si>
  <si>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</si>
  <si>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</si>
  <si>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</si>
  <si>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</si>
  <si>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</si>
  <si>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</si>
  <si>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</si>
  <si>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</si>
  <si>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</si>
  <si>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</si>
  <si>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</si>
  <si>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</si>
  <si>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</si>
  <si>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</si>
  <si>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</si>
  <si>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</si>
  <si>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</si>
  <si>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</si>
  <si>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</si>
  <si>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</si>
  <si>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</si>
  <si>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</si>
  <si>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</si>
  <si>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</si>
  <si>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</si>
  <si>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</si>
  <si>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</si>
  <si>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biennium and 2028-2030 biennium,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</si>
  <si>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</si>
  <si>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</si>
  <si>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</si>
  <si>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</si>
  <si>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</si>
  <si>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</si>
  <si>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</si>
  <si>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</si>
  <si>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</si>
  <si>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</si>
  <si>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</si>
  <si>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</si>
  <si>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</si>
  <si>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</si>
  <si>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</si>
  <si>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</si>
  <si>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</si>
  <si>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</si>
  <si>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</si>
  <si>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</si>
  <si>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</si>
  <si>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 @ 2%</t>
  </si>
  <si>
    <t>Increase Admin. Faculty Salaries @ 2%</t>
  </si>
  <si>
    <t>Increase Classified Staff Salaries @ 2%</t>
  </si>
  <si>
    <t>Increase University Staff Salaries @ 2%</t>
  </si>
  <si>
    <t>Increase GTA Salaries @ 2%</t>
  </si>
  <si>
    <t>Increase T&amp;R Faculty Salaries @ addl 1%</t>
  </si>
  <si>
    <t>In 2013 BOV approved an aspirational goal to reach a top 20 AAU faculty salary ranking by June 2017.  In FY22 UVa ranked 27th.  Additional 1.0% merit increase  to maintain competitive levels.</t>
  </si>
  <si>
    <t>Increase Admin. Faculty Salaries @ addt'l 1%</t>
  </si>
  <si>
    <t>UVa is currently conducting an assessment of salaries and expects to identify issues that need to be addressed which could total an additional 1%.</t>
  </si>
  <si>
    <t>Increase University Staff Salaries @ addt'l 1%</t>
  </si>
  <si>
    <t>UVa is currently conducting an assessment of staff salaries and expects to identify issues that need to be addressed which could total an additional 1%.</t>
  </si>
  <si>
    <t>Increase GTA Salaries @ addt'l 1%</t>
  </si>
  <si>
    <t>Graduate students play a critical role in instruction; competitive salaries are necessary to attract the best GTAs</t>
  </si>
  <si>
    <t>Inflationary non-personnel cost increases</t>
  </si>
  <si>
    <t>Contractual services</t>
  </si>
  <si>
    <t>Assume 3% annual inflationary increase.</t>
  </si>
  <si>
    <t>Non-Personal - Other</t>
  </si>
  <si>
    <t>ISP/Internal Recoveries</t>
  </si>
  <si>
    <t>Expenditure recoveries executed by Internal Service Providers (primarily Information Technology). 3% annual inflationary increase.</t>
  </si>
  <si>
    <t>University Recoveries</t>
  </si>
  <si>
    <t>Expenditure recoveries executed by Central Service Units (paid primarily by schools). 3% inflationary increase.</t>
  </si>
  <si>
    <t>Transfers</t>
  </si>
  <si>
    <t>Transfers include operating to non-operating executed to support capital expenditures. 3% inflationary increase.</t>
  </si>
  <si>
    <t>Debt Service on Internal Loans</t>
  </si>
  <si>
    <t>Utility increases</t>
  </si>
  <si>
    <t>Financial aid expansion</t>
  </si>
  <si>
    <t>Addt'l In-State Student Financial Aid from Tuition Rev</t>
  </si>
  <si>
    <t>Excludes additional costs of tuition funded waivers such as VMSDEP shown below.</t>
  </si>
  <si>
    <t>Addt'l Out-of-State Student Financial Aid from Tuition Rev</t>
  </si>
  <si>
    <t>New/expanded academic programs</t>
  </si>
  <si>
    <t>Supports Bachelor's Completion &amp; Certificate Programs and Broadening Our Horizons strategies/priorities (narrative question A3)</t>
  </si>
  <si>
    <t>Other academic &amp; student support strategies &amp; initiatives</t>
  </si>
  <si>
    <t>Expand UVA's Threat Assessment Team</t>
  </si>
  <si>
    <t>Supports SuccessUVA strategy/priority (narrative question A3)</t>
  </si>
  <si>
    <t>Supports Pathways to Research Preeminence strategy/priority (narrative question A3)</t>
  </si>
  <si>
    <t>Other non-academic strategies &amp; initiatives</t>
  </si>
  <si>
    <t>O&amp;M for new facilities coming on line over the six year planning horizon.</t>
  </si>
  <si>
    <t>FY2024: School of Data Science, Contemplative Commons
FY2025: Physics Building
FY2026: Shumway Hall (McIntire)
FY2027: Karsh Institute of Democracy
FY2028: Institute of Biotechnology</t>
  </si>
  <si>
    <t>Total Additional Funding Need</t>
  </si>
  <si>
    <t>Must not be greater than incremental Tuit Rev in Part 2</t>
  </si>
  <si>
    <t>If result is &lt; $0, please provide explanation in these fields.</t>
  </si>
  <si>
    <t>In absence of additional state funds, additional reallocations and expenditure reductions would be required to address the projected cost increases above the additional revenue projected.</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</si>
  <si>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</si>
  <si>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</si>
  <si>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</si>
  <si>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</si>
  <si>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</si>
  <si>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</si>
  <si>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</si>
  <si>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</si>
  <si>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</si>
  <si>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</si>
  <si>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</si>
  <si>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</si>
  <si>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</si>
  <si>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</si>
  <si>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</si>
  <si>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</si>
  <si>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</si>
  <si>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</si>
  <si>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</si>
  <si>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</si>
  <si>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</si>
  <si>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</si>
  <si>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</si>
  <si>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</si>
  <si>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</si>
  <si>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</si>
  <si>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</si>
  <si>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</si>
  <si>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</si>
  <si>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</si>
  <si>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</si>
  <si>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</si>
  <si>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</si>
  <si>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</si>
  <si>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</si>
  <si>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</si>
  <si>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</si>
  <si>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</si>
  <si>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</si>
  <si>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r>
      <rPr>
        <b/>
        <i/>
        <u/>
        <sz val="10"/>
        <rFont val="Arial"/>
        <family val="2"/>
      </rPr>
      <t>NOTE</t>
    </r>
    <r>
      <rPr>
        <sz val="10"/>
        <rFont val="Arial"/>
      </rPr>
      <t>: Due to our first fiscal year close in Workday Financials, June pay activity was not disbursed until July 3rd.  That activity is approximately $29 million. In addition, ETF funds were not received until July 1, however we adjusted and included these in our report.</t>
    </r>
  </si>
  <si>
    <t xml:space="preserve">            If we had treated ETF on a cash basis, these two items would have resulted in a $16 million shortfall, or a modest $2 million surplus if looking a pay activity in isolation.</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</si>
  <si>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</si>
  <si>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</si>
  <si>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</si>
  <si>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</si>
  <si>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</si>
  <si>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</si>
  <si>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</si>
  <si>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</si>
  <si>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</si>
  <si>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</si>
  <si>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</si>
  <si>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</si>
  <si>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</si>
  <si>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</si>
  <si>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</si>
  <si>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</si>
  <si>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</si>
  <si>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</si>
  <si>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</si>
  <si>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</si>
  <si>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Institute of Biotechnology</t>
  </si>
  <si>
    <t>Research</t>
  </si>
  <si>
    <t>Workforce Development and Internships</t>
  </si>
  <si>
    <t>Career Readiness &amp; Placement</t>
  </si>
  <si>
    <t>See narrative question E1 for description of request.</t>
  </si>
  <si>
    <t>Expand UVA's Threat Assessment Team (TAT)</t>
  </si>
  <si>
    <t>General Operations Support</t>
  </si>
  <si>
    <t>Expand mental health services</t>
  </si>
  <si>
    <t>Student Success</t>
  </si>
  <si>
    <t>Strategic Infrastructure for Translation and Commercialization of Scientific Research</t>
  </si>
  <si>
    <t>Virginia Military Survivors and Dependents Education Program (VMSDEP)</t>
  </si>
  <si>
    <t>Financial Aid</t>
  </si>
  <si>
    <t>UVA's Health Insurance Plan premium increases</t>
  </si>
  <si>
    <t>O&amp;M for New Facilities</t>
  </si>
  <si>
    <t>Utilities cost increases</t>
  </si>
  <si>
    <t xml:space="preserve">State Arboretum at Blandy Farm </t>
  </si>
  <si>
    <t>GF Request Categories</t>
  </si>
  <si>
    <t>Community Engagement</t>
  </si>
  <si>
    <t>Cost efficiency</t>
  </si>
  <si>
    <t>Curriculum</t>
  </si>
  <si>
    <t>Degree Pathways</t>
  </si>
  <si>
    <t>Economic Development</t>
  </si>
  <si>
    <t>Education Innovation / Online Learning</t>
  </si>
  <si>
    <t>Enrollment management</t>
  </si>
  <si>
    <t>Partnerships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</si>
  <si>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</si>
  <si>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</si>
  <si>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</si>
  <si>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</si>
  <si>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</si>
  <si>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</si>
  <si>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</si>
  <si>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</si>
  <si>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</si>
  <si>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</si>
  <si>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</si>
  <si>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</si>
  <si>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</si>
  <si>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</si>
  <si>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</si>
  <si>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</si>
  <si>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</si>
  <si>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</si>
  <si>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</si>
  <si>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</si>
  <si>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</si>
  <si>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</si>
  <si>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</si>
  <si>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</si>
  <si>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</si>
  <si>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</si>
  <si>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</si>
  <si>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</si>
  <si>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</si>
  <si>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</si>
  <si>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</si>
  <si>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</si>
  <si>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</si>
  <si>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</si>
  <si>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</si>
  <si>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</si>
  <si>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</si>
  <si>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</si>
  <si>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</si>
  <si>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</si>
  <si>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</si>
  <si>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</si>
  <si>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</si>
  <si>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</si>
  <si>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</si>
  <si>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</si>
  <si>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</si>
  <si>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</si>
  <si>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</si>
  <si>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</si>
  <si>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</si>
  <si>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</si>
  <si>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</si>
  <si>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</si>
  <si>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</si>
  <si>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</si>
  <si>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</si>
  <si>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</si>
  <si>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</si>
  <si>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</si>
  <si>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</si>
  <si>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</si>
  <si>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</si>
  <si>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</si>
  <si>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</si>
  <si>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</si>
  <si>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</si>
  <si>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</si>
  <si>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</si>
  <si>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</si>
  <si>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</si>
  <si>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</si>
  <si>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</si>
  <si>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</si>
  <si>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</si>
  <si>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</si>
  <si>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</si>
  <si>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</si>
  <si>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</si>
  <si>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</si>
  <si>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</si>
  <si>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UVa Health Care Plan premium increases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</si>
</sst>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 numFmtId="169" formatCode="_(&quot;$&quot;* #,##0_);_(&quot;$&quot;* \(#,##0\);_(&quot;$&quot;* &quot;-&quot;??_);_(@_)"/>
    <numFmt numFmtId="170" formatCode="&quot;$&quot;#,##0.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sz val="10"/>
      <name val="Arial"/>
      <family val="2"/>
    </font>
    <font>
      <b/>
      <sz val="12"/>
      <color rgb="FFFF0000"/>
      <name val="Arial"/>
      <family val="2"/>
    </font>
    <font>
      <b/>
      <i/>
      <u/>
      <sz val="1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6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top style="medium">
        <color auto="1"/>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40">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4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6"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1" fillId="0" borderId="0" applyFont="0" applyFill="0" applyBorder="0" applyAlignment="0" applyProtection="0"/>
    <xf numFmtId="44" fontId="76" fillId="0" borderId="0" applyFont="0" applyFill="0" applyBorder="0" applyAlignment="0" applyProtection="0"/>
  </cellStyleXfs>
  <cellXfs count="593">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0" fontId="29" fillId="0" borderId="47" xfId="0" applyFont="1" applyBorder="1" applyAlignment="1">
      <alignment vertical="top" wrapText="1"/>
    </xf>
    <xf numFmtId="0" fontId="14" fillId="2" borderId="0" xfId="0" applyFont="1" applyFill="1"/>
    <xf numFmtId="0" fontId="29" fillId="0" borderId="49" xfId="0" applyFont="1" applyBorder="1" applyAlignment="1">
      <alignment horizontal="center" vertical="top"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4" fillId="5" borderId="10" xfId="0" applyFont="1" applyFill="1" applyBorder="1" applyAlignment="1">
      <alignment horizontal="center" vertical="center" wrapText="1"/>
    </xf>
    <xf numFmtId="0" fontId="54" fillId="2" borderId="10" xfId="1" applyFont="1" applyFill="1" applyBorder="1" applyAlignment="1">
      <alignment horizontal="center" vertical="center" wrapText="1"/>
    </xf>
    <xf numFmtId="0" fontId="54" fillId="5" borderId="48" xfId="0" applyFont="1" applyFill="1" applyBorder="1" applyAlignment="1">
      <alignment horizontal="center" vertical="center" wrapText="1"/>
    </xf>
    <xf numFmtId="0" fontId="57" fillId="0" borderId="52" xfId="1" applyFont="1" applyBorder="1" applyAlignment="1">
      <alignment horizontal="left" vertical="top" wrapText="1"/>
    </xf>
    <xf numFmtId="0" fontId="14" fillId="0" borderId="0" xfId="1" applyFont="1" applyAlignment="1">
      <alignment horizontal="left" vertical="top" wrapText="1"/>
    </xf>
    <xf numFmtId="0" fontId="58" fillId="3" borderId="50" xfId="1" applyFont="1" applyFill="1" applyBorder="1" applyAlignment="1">
      <alignment horizontal="left" vertical="top" wrapText="1"/>
    </xf>
    <xf numFmtId="0" fontId="42" fillId="0" borderId="0" xfId="1" applyFont="1" applyAlignment="1">
      <alignment horizontal="left" vertical="center" wrapText="1"/>
    </xf>
    <xf numFmtId="0" fontId="53" fillId="0" borderId="0" xfId="1" applyFont="1" applyAlignment="1">
      <alignment horizontal="left" vertical="top" wrapText="1"/>
    </xf>
    <xf numFmtId="0" fontId="42" fillId="0" borderId="52" xfId="1" applyFont="1" applyBorder="1" applyAlignment="1">
      <alignment horizontal="left" vertical="center" wrapText="1"/>
    </xf>
    <xf numFmtId="0" fontId="45" fillId="3" borderId="16" xfId="1" applyFont="1" applyFill="1" applyBorder="1" applyAlignment="1">
      <alignment horizontal="left" vertical="center" wrapText="1"/>
    </xf>
    <xf numFmtId="0" fontId="14" fillId="0" borderId="0" xfId="1" applyFont="1" applyAlignment="1">
      <alignment horizontal="left" vertical="center" wrapText="1"/>
    </xf>
    <xf numFmtId="0" fontId="58" fillId="3" borderId="50" xfId="1" applyFont="1" applyFill="1" applyBorder="1" applyAlignment="1">
      <alignment horizontal="left" vertical="center" wrapText="1"/>
    </xf>
    <xf numFmtId="0" fontId="47" fillId="0" borderId="50" xfId="1" applyFont="1" applyBorder="1" applyAlignment="1">
      <alignment horizontal="left" vertical="center" wrapText="1"/>
    </xf>
    <xf numFmtId="0" fontId="60" fillId="3" borderId="50" xfId="1" applyFont="1" applyFill="1" applyBorder="1" applyAlignment="1">
      <alignment horizontal="left" vertical="center" wrapText="1"/>
    </xf>
    <xf numFmtId="0" fontId="61" fillId="0" borderId="0" xfId="1" applyFont="1" applyAlignment="1">
      <alignment horizontal="left" vertical="center" wrapText="1"/>
    </xf>
    <xf numFmtId="0" fontId="42" fillId="0" borderId="50" xfId="1" applyFont="1" applyBorder="1" applyAlignment="1">
      <alignment horizontal="left" vertical="center" wrapText="1"/>
    </xf>
    <xf numFmtId="0" fontId="58" fillId="7" borderId="50" xfId="1" applyFont="1" applyFill="1" applyBorder="1" applyAlignment="1">
      <alignment horizontal="left" vertical="center" wrapText="1"/>
    </xf>
    <xf numFmtId="0" fontId="42" fillId="7" borderId="52" xfId="1" applyFont="1" applyFill="1" applyBorder="1" applyAlignment="1">
      <alignment horizontal="left" vertical="center" wrapText="1"/>
    </xf>
    <xf numFmtId="0" fontId="62" fillId="3" borderId="50" xfId="1" applyFont="1" applyFill="1" applyBorder="1" applyAlignment="1">
      <alignment horizontal="left" vertical="center" wrapText="1"/>
    </xf>
    <xf numFmtId="0" fontId="63" fillId="0" borderId="52" xfId="1" applyFont="1" applyBorder="1" applyAlignment="1">
      <alignment horizontal="left" vertical="center" wrapText="1"/>
    </xf>
    <xf numFmtId="0" fontId="59" fillId="0" borderId="0" xfId="1" applyFont="1" applyAlignment="1">
      <alignment horizontal="left" vertical="center" wrapText="1"/>
    </xf>
    <xf numFmtId="0" fontId="59" fillId="0" borderId="52" xfId="1" applyFont="1" applyBorder="1" applyAlignment="1">
      <alignment horizontal="left" vertical="center" wrapText="1"/>
    </xf>
    <xf numFmtId="0" fontId="14" fillId="0" borderId="52" xfId="1" applyFont="1" applyBorder="1" applyAlignment="1">
      <alignment horizontal="left" vertical="top" wrapText="1"/>
    </xf>
    <xf numFmtId="0" fontId="12" fillId="0" borderId="1" xfId="0" applyFont="1" applyBorder="1"/>
    <xf numFmtId="165" fontId="12" fillId="3" borderId="50"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4"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6" fillId="6" borderId="0" xfId="0" applyFont="1" applyFill="1"/>
    <xf numFmtId="0" fontId="67"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56" xfId="1" applyFont="1" applyBorder="1" applyAlignment="1">
      <alignment horizontal="left" vertical="top" wrapText="1"/>
    </xf>
    <xf numFmtId="0" fontId="11" fillId="2" borderId="50" xfId="1" applyFont="1" applyFill="1" applyBorder="1" applyAlignment="1">
      <alignment horizontal="center"/>
    </xf>
    <xf numFmtId="0" fontId="11" fillId="2" borderId="50" xfId="1" applyFont="1" applyFill="1" applyBorder="1" applyAlignment="1">
      <alignment horizontal="center" vertical="center" wrapText="1"/>
    </xf>
    <xf numFmtId="0" fontId="23" fillId="0" borderId="50" xfId="1" applyFont="1" applyBorder="1"/>
    <xf numFmtId="0" fontId="12" fillId="0" borderId="50" xfId="1" applyBorder="1" applyAlignment="1">
      <alignment horizontal="left" indent="1"/>
    </xf>
    <xf numFmtId="164" fontId="12" fillId="0" borderId="50" xfId="1" applyNumberFormat="1" applyBorder="1" applyProtection="1">
      <protection locked="0"/>
    </xf>
    <xf numFmtId="0" fontId="12" fillId="0" borderId="50" xfId="1" applyBorder="1"/>
    <xf numFmtId="164" fontId="12" fillId="2" borderId="50" xfId="1" applyNumberFormat="1" applyFill="1" applyBorder="1" applyProtection="1">
      <protection locked="0"/>
    </xf>
    <xf numFmtId="0" fontId="11" fillId="0" borderId="50" xfId="1" applyFont="1" applyBorder="1"/>
    <xf numFmtId="164" fontId="17" fillId="2" borderId="50" xfId="0" applyNumberFormat="1" applyFont="1" applyFill="1" applyBorder="1" applyAlignment="1">
      <alignment horizontal="right" vertical="center"/>
    </xf>
    <xf numFmtId="164" fontId="12" fillId="6" borderId="50" xfId="0" applyNumberFormat="1" applyFont="1" applyFill="1" applyBorder="1" applyAlignment="1" applyProtection="1">
      <alignment horizontal="right" vertical="center"/>
      <protection locked="0"/>
    </xf>
    <xf numFmtId="164" fontId="12" fillId="2" borderId="50" xfId="0" applyNumberFormat="1" applyFont="1" applyFill="1" applyBorder="1" applyAlignment="1" applyProtection="1">
      <alignment horizontal="right" vertical="center"/>
      <protection locked="0"/>
    </xf>
    <xf numFmtId="164" fontId="12" fillId="4" borderId="50" xfId="0" applyNumberFormat="1" applyFont="1" applyFill="1" applyBorder="1" applyAlignment="1" applyProtection="1">
      <alignment horizontal="right" vertical="center"/>
      <protection locked="0"/>
    </xf>
    <xf numFmtId="0" fontId="0" fillId="0" borderId="51" xfId="0" applyBorder="1"/>
    <xf numFmtId="0" fontId="0" fillId="0" borderId="28" xfId="0" applyBorder="1"/>
    <xf numFmtId="0" fontId="0" fillId="0" borderId="57" xfId="0" applyBorder="1"/>
    <xf numFmtId="165" fontId="12" fillId="2" borderId="58" xfId="1" applyNumberFormat="1" applyFill="1" applyBorder="1" applyAlignment="1" applyProtection="1">
      <alignment horizontal="right"/>
      <protection locked="0"/>
    </xf>
    <xf numFmtId="165" fontId="12" fillId="2" borderId="59"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2" xfId="0" applyBorder="1"/>
    <xf numFmtId="0" fontId="0" fillId="2" borderId="3" xfId="0" applyFill="1" applyBorder="1"/>
    <xf numFmtId="164" fontId="17" fillId="2" borderId="50"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2"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51"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59" xfId="83" applyFont="1" applyFill="1" applyBorder="1" applyAlignment="1">
      <alignment horizontal="right"/>
    </xf>
    <xf numFmtId="9" fontId="11" fillId="0" borderId="4" xfId="83" applyFont="1" applyFill="1" applyBorder="1" applyAlignment="1">
      <alignment horizontal="center" vertical="center"/>
    </xf>
    <xf numFmtId="0" fontId="12" fillId="2" borderId="50" xfId="1" applyFill="1" applyBorder="1"/>
    <xf numFmtId="0" fontId="19" fillId="2" borderId="50"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3"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55"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5"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2"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4"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0" xfId="83" applyNumberFormat="1" applyFont="1" applyFill="1" applyBorder="1" applyAlignment="1">
      <alignment horizontal="center"/>
    </xf>
    <xf numFmtId="165" fontId="0" fillId="2" borderId="59"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0" xfId="1" applyFill="1" applyBorder="1"/>
    <xf numFmtId="164" fontId="12" fillId="8" borderId="50"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0" xfId="0" applyFill="1" applyBorder="1"/>
    <xf numFmtId="0" fontId="0" fillId="6" borderId="54"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1" xfId="0" applyFont="1" applyFill="1" applyBorder="1"/>
    <xf numFmtId="0" fontId="11" fillId="10" borderId="18" xfId="0" applyFont="1" applyFill="1" applyBorder="1"/>
    <xf numFmtId="0" fontId="68" fillId="6" borderId="0" xfId="0" applyFont="1" applyFill="1" applyAlignment="1">
      <alignment vertical="center" wrapText="1"/>
    </xf>
    <xf numFmtId="0" fontId="17" fillId="2" borderId="1" xfId="0" applyFont="1" applyFill="1" applyBorder="1" applyAlignment="1">
      <alignment horizontal="center" wrapText="1"/>
    </xf>
    <xf numFmtId="0" fontId="17" fillId="2" borderId="52" xfId="0" applyFont="1" applyFill="1" applyBorder="1" applyAlignment="1">
      <alignment horizontal="center" wrapText="1"/>
    </xf>
    <xf numFmtId="0" fontId="17" fillId="2" borderId="57" xfId="0" applyFont="1" applyFill="1" applyBorder="1" applyAlignment="1">
      <alignment horizontal="center" wrapText="1"/>
    </xf>
    <xf numFmtId="0" fontId="17" fillId="2" borderId="58"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3"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2" xfId="0" applyFont="1" applyFill="1" applyBorder="1" applyAlignment="1">
      <alignment horizontal="center" vertical="center" wrapText="1"/>
    </xf>
    <xf numFmtId="164" fontId="13" fillId="2" borderId="52" xfId="1" applyNumberFormat="1" applyFont="1" applyFill="1" applyBorder="1" applyAlignment="1" applyProtection="1">
      <alignment vertical="center"/>
      <protection locked="0"/>
    </xf>
    <xf numFmtId="164" fontId="13" fillId="3" borderId="52" xfId="1" applyNumberFormat="1" applyFont="1" applyFill="1" applyBorder="1" applyAlignment="1" applyProtection="1">
      <alignment vertical="center"/>
      <protection locked="0"/>
    </xf>
    <xf numFmtId="0" fontId="30" fillId="3" borderId="51" xfId="0" applyFont="1" applyFill="1" applyBorder="1" applyAlignment="1">
      <alignment horizontal="center" vertical="center" wrapText="1"/>
    </xf>
    <xf numFmtId="0" fontId="30" fillId="3" borderId="59" xfId="0" applyFont="1" applyFill="1" applyBorder="1" applyAlignment="1">
      <alignment horizontal="center" vertical="center" wrapText="1"/>
    </xf>
    <xf numFmtId="164" fontId="17" fillId="3" borderId="51" xfId="0" applyNumberFormat="1" applyFont="1" applyFill="1" applyBorder="1" applyAlignment="1" applyProtection="1">
      <alignment horizontal="right" vertical="center" wrapText="1"/>
      <protection locked="0"/>
    </xf>
    <xf numFmtId="164" fontId="17" fillId="3" borderId="59" xfId="0" applyNumberFormat="1" applyFont="1" applyFill="1" applyBorder="1" applyAlignment="1" applyProtection="1">
      <alignment horizontal="right" vertical="center" wrapText="1"/>
      <protection locked="0"/>
    </xf>
    <xf numFmtId="164" fontId="17" fillId="3" borderId="52" xfId="0" applyNumberFormat="1" applyFont="1" applyFill="1" applyBorder="1" applyAlignment="1" applyProtection="1">
      <alignment horizontal="right" vertical="center" wrapText="1"/>
      <protection locked="0"/>
    </xf>
    <xf numFmtId="0" fontId="30" fillId="2" borderId="50"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1" xfId="1" applyFont="1" applyFill="1" applyBorder="1" applyAlignment="1" applyProtection="1">
      <alignment vertical="center"/>
      <protection locked="0"/>
    </xf>
    <xf numFmtId="0" fontId="24" fillId="2" borderId="61" xfId="1" applyFont="1" applyFill="1" applyBorder="1" applyAlignment="1" applyProtection="1">
      <alignment vertical="center"/>
      <protection locked="0"/>
    </xf>
    <xf numFmtId="164" fontId="17" fillId="9" borderId="51"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59" xfId="0" applyNumberFormat="1" applyFont="1" applyFill="1" applyBorder="1" applyAlignment="1" applyProtection="1">
      <alignment horizontal="right" vertical="center" wrapText="1"/>
      <protection locked="0"/>
    </xf>
    <xf numFmtId="164" fontId="17" fillId="9" borderId="52"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1" fillId="6" borderId="0" xfId="0" applyFont="1" applyFill="1" applyAlignment="1" applyProtection="1">
      <alignment vertical="center"/>
      <protection locked="0"/>
    </xf>
    <xf numFmtId="0" fontId="12" fillId="2" borderId="50" xfId="0" applyFont="1" applyFill="1" applyBorder="1" applyAlignment="1">
      <alignment vertical="center"/>
    </xf>
    <xf numFmtId="0" fontId="13" fillId="6" borderId="51" xfId="1" applyFont="1" applyFill="1" applyBorder="1" applyAlignment="1" applyProtection="1">
      <alignment vertical="center"/>
      <protection locked="0"/>
    </xf>
    <xf numFmtId="0" fontId="13" fillId="3" borderId="51" xfId="1" applyFont="1" applyFill="1" applyBorder="1" applyAlignment="1" applyProtection="1">
      <alignment vertical="center"/>
      <protection locked="0"/>
    </xf>
    <xf numFmtId="0" fontId="12" fillId="3" borderId="52" xfId="0" applyFont="1" applyFill="1" applyBorder="1" applyAlignment="1">
      <alignment vertical="center"/>
    </xf>
    <xf numFmtId="0" fontId="12" fillId="6" borderId="51" xfId="0" applyFont="1" applyFill="1" applyBorder="1" applyAlignment="1">
      <alignment vertical="center"/>
    </xf>
    <xf numFmtId="0" fontId="12" fillId="9" borderId="52" xfId="0" applyFont="1" applyFill="1" applyBorder="1" applyAlignment="1">
      <alignment vertical="center"/>
    </xf>
    <xf numFmtId="0" fontId="13" fillId="2" borderId="30" xfId="1" applyFont="1" applyFill="1" applyBorder="1" applyAlignment="1">
      <alignment vertical="center"/>
    </xf>
    <xf numFmtId="164" fontId="13" fillId="2" borderId="61" xfId="1" applyNumberFormat="1" applyFont="1" applyFill="1" applyBorder="1" applyAlignment="1">
      <alignment vertical="center"/>
    </xf>
    <xf numFmtId="164" fontId="13" fillId="2" borderId="67" xfId="1" applyNumberFormat="1" applyFont="1" applyFill="1" applyBorder="1" applyAlignment="1">
      <alignment vertical="center"/>
    </xf>
    <xf numFmtId="164" fontId="13" fillId="2" borderId="65"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4" fillId="2" borderId="0" xfId="0" applyFont="1" applyFill="1" applyAlignment="1" applyProtection="1">
      <alignment horizontal="center" vertical="center" wrapText="1"/>
      <protection locked="0"/>
    </xf>
    <xf numFmtId="0" fontId="54"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4" xfId="1" applyFont="1" applyFill="1" applyBorder="1" applyAlignment="1">
      <alignment horizontal="center" vertical="center"/>
    </xf>
    <xf numFmtId="9" fontId="11" fillId="10" borderId="54" xfId="83" applyFont="1" applyFill="1" applyBorder="1" applyAlignment="1">
      <alignment horizontal="center" vertical="center"/>
    </xf>
    <xf numFmtId="0" fontId="54" fillId="10" borderId="54" xfId="0" applyFont="1" applyFill="1" applyBorder="1" applyAlignment="1" applyProtection="1">
      <alignment horizontal="center" vertical="center" wrapText="1"/>
      <protection locked="0"/>
    </xf>
    <xf numFmtId="0" fontId="54" fillId="10" borderId="54"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3"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4"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4" xfId="0" applyFont="1" applyFill="1" applyBorder="1"/>
    <xf numFmtId="9" fontId="0" fillId="6" borderId="53" xfId="83" applyFont="1" applyFill="1" applyBorder="1"/>
    <xf numFmtId="9" fontId="0" fillId="6" borderId="11" xfId="83" applyFont="1" applyFill="1" applyBorder="1"/>
    <xf numFmtId="166" fontId="0" fillId="9" borderId="56" xfId="138" applyNumberFormat="1" applyFont="1" applyFill="1" applyBorder="1"/>
    <xf numFmtId="9" fontId="0" fillId="3" borderId="56" xfId="83" applyFont="1" applyFill="1" applyBorder="1" applyAlignment="1">
      <alignment horizontal="right"/>
    </xf>
    <xf numFmtId="166" fontId="12" fillId="9" borderId="60" xfId="138" applyNumberFormat="1" applyFont="1" applyFill="1" applyBorder="1" applyAlignment="1">
      <alignment horizontal="center"/>
    </xf>
    <xf numFmtId="166" fontId="12" fillId="9" borderId="60" xfId="138" applyNumberFormat="1" applyFont="1" applyFill="1" applyBorder="1" applyAlignment="1">
      <alignment horizontal="center" vertical="center"/>
    </xf>
    <xf numFmtId="9" fontId="0" fillId="3" borderId="60" xfId="83" applyFont="1" applyFill="1" applyBorder="1" applyAlignment="1">
      <alignment horizontal="right"/>
    </xf>
    <xf numFmtId="166" fontId="0" fillId="9" borderId="60"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0" xfId="6" applyNumberFormat="1" applyFont="1" applyFill="1" applyBorder="1" applyAlignment="1">
      <alignment horizontal="right"/>
    </xf>
    <xf numFmtId="167" fontId="0" fillId="3" borderId="60" xfId="6" applyNumberFormat="1" applyFont="1" applyFill="1" applyBorder="1" applyAlignment="1">
      <alignment horizontal="right"/>
    </xf>
    <xf numFmtId="0" fontId="26" fillId="6" borderId="57" xfId="0" applyFont="1" applyFill="1" applyBorder="1" applyAlignment="1">
      <alignment vertical="center"/>
    </xf>
    <xf numFmtId="0" fontId="26" fillId="6" borderId="56" xfId="0" applyFont="1" applyFill="1" applyBorder="1" applyAlignment="1">
      <alignment vertical="center"/>
    </xf>
    <xf numFmtId="0" fontId="12" fillId="6" borderId="56" xfId="0" applyFont="1" applyFill="1" applyBorder="1"/>
    <xf numFmtId="0" fontId="0" fillId="6" borderId="56" xfId="0" applyFill="1" applyBorder="1"/>
    <xf numFmtId="0" fontId="0" fillId="6" borderId="58" xfId="0" applyFill="1" applyBorder="1"/>
    <xf numFmtId="0" fontId="0" fillId="6" borderId="59" xfId="0" applyFill="1" applyBorder="1"/>
    <xf numFmtId="0" fontId="0" fillId="6" borderId="51" xfId="0" applyFill="1" applyBorder="1"/>
    <xf numFmtId="0" fontId="12" fillId="6" borderId="59" xfId="0" applyFont="1" applyFill="1" applyBorder="1"/>
    <xf numFmtId="0" fontId="0" fillId="6" borderId="28" xfId="0" applyFill="1" applyBorder="1"/>
    <xf numFmtId="0" fontId="0" fillId="6" borderId="27" xfId="0" applyFill="1" applyBorder="1"/>
    <xf numFmtId="0" fontId="11" fillId="10" borderId="63" xfId="0" applyFont="1" applyFill="1" applyBorder="1"/>
    <xf numFmtId="0" fontId="0" fillId="10" borderId="67" xfId="0" applyFill="1" applyBorder="1"/>
    <xf numFmtId="0" fontId="11" fillId="2" borderId="67" xfId="1" applyFont="1" applyFill="1" applyBorder="1" applyAlignment="1">
      <alignment horizontal="center" vertical="center"/>
    </xf>
    <xf numFmtId="9" fontId="11" fillId="2" borderId="67" xfId="83" applyFont="1" applyFill="1" applyBorder="1" applyAlignment="1">
      <alignment horizontal="center" vertical="center"/>
    </xf>
    <xf numFmtId="0" fontId="54" fillId="2" borderId="67" xfId="0" applyFont="1" applyFill="1" applyBorder="1" applyAlignment="1" applyProtection="1">
      <alignment horizontal="center" vertical="center" wrapText="1"/>
      <protection locked="0"/>
    </xf>
    <xf numFmtId="0" fontId="54" fillId="2" borderId="67" xfId="0" applyFont="1" applyFill="1" applyBorder="1" applyAlignment="1">
      <alignment horizontal="center" vertical="center" wrapText="1"/>
    </xf>
    <xf numFmtId="0" fontId="12" fillId="6" borderId="63" xfId="0" applyFont="1" applyFill="1" applyBorder="1"/>
    <xf numFmtId="0" fontId="14" fillId="6" borderId="50"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59"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4"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67"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66" xfId="6" applyFont="1" applyFill="1" applyBorder="1" applyAlignment="1">
      <alignment horizontal="center" vertical="center"/>
    </xf>
    <xf numFmtId="9" fontId="0" fillId="3" borderId="38" xfId="6" applyFont="1" applyFill="1" applyBorder="1" applyAlignment="1">
      <alignment horizontal="right"/>
    </xf>
    <xf numFmtId="9" fontId="0" fillId="3" borderId="64" xfId="6" applyFont="1" applyFill="1" applyBorder="1" applyAlignment="1">
      <alignment horizontal="right"/>
    </xf>
    <xf numFmtId="9" fontId="0" fillId="3" borderId="26" xfId="6" applyFont="1" applyFill="1" applyBorder="1" applyAlignment="1">
      <alignment horizontal="right"/>
    </xf>
    <xf numFmtId="9" fontId="0" fillId="10" borderId="64" xfId="6" applyFont="1" applyFill="1" applyBorder="1" applyAlignment="1">
      <alignment horizontal="right"/>
    </xf>
    <xf numFmtId="9" fontId="0" fillId="10" borderId="9" xfId="6" applyFont="1" applyFill="1" applyBorder="1" applyAlignment="1">
      <alignment horizontal="right"/>
    </xf>
    <xf numFmtId="0" fontId="0" fillId="10" borderId="53" xfId="0" applyFill="1" applyBorder="1"/>
    <xf numFmtId="9" fontId="11" fillId="2" borderId="53"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4"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3" xfId="6" applyFont="1" applyFill="1" applyBorder="1" applyAlignment="1">
      <alignment horizontal="center" vertical="center"/>
    </xf>
    <xf numFmtId="0" fontId="24" fillId="0" borderId="52" xfId="1" applyFont="1" applyBorder="1" applyAlignment="1">
      <alignment horizontal="left" vertical="top" wrapText="1"/>
    </xf>
    <xf numFmtId="0" fontId="13" fillId="0" borderId="52" xfId="1" applyFont="1" applyBorder="1" applyAlignment="1">
      <alignment horizontal="left" vertical="top" wrapText="1"/>
    </xf>
    <xf numFmtId="0" fontId="42"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2" fillId="0" borderId="50" xfId="1" applyFont="1" applyBorder="1" applyAlignment="1">
      <alignment horizontal="left" vertical="top" wrapText="1"/>
    </xf>
    <xf numFmtId="0" fontId="70" fillId="0" borderId="1" xfId="1" applyFont="1" applyBorder="1" applyAlignment="1">
      <alignment horizontal="left" vertical="top" wrapText="1"/>
    </xf>
    <xf numFmtId="0" fontId="42" fillId="0" borderId="52" xfId="1" applyFont="1" applyBorder="1" applyAlignment="1">
      <alignment horizontal="left" vertical="top" wrapText="1"/>
    </xf>
    <xf numFmtId="0" fontId="42" fillId="0" borderId="2" xfId="1" applyFont="1" applyBorder="1" applyAlignment="1">
      <alignment horizontal="left" vertical="top" wrapText="1"/>
    </xf>
    <xf numFmtId="0" fontId="17" fillId="0" borderId="50" xfId="0" applyFont="1" applyBorder="1" applyAlignment="1">
      <alignment vertical="center" wrapText="1"/>
    </xf>
    <xf numFmtId="0" fontId="17" fillId="0" borderId="4" xfId="0" applyFont="1" applyBorder="1" applyAlignment="1">
      <alignment vertical="center" wrapText="1"/>
    </xf>
    <xf numFmtId="0" fontId="73" fillId="0" borderId="1" xfId="0" applyFont="1" applyBorder="1"/>
    <xf numFmtId="0" fontId="73" fillId="0" borderId="0" xfId="0" applyFont="1"/>
    <xf numFmtId="0" fontId="13" fillId="0" borderId="2" xfId="0" applyFont="1" applyBorder="1"/>
    <xf numFmtId="0" fontId="14" fillId="0" borderId="50" xfId="0" applyFont="1" applyBorder="1"/>
    <xf numFmtId="165" fontId="14" fillId="0" borderId="50" xfId="83" applyNumberFormat="1" applyFont="1" applyBorder="1"/>
    <xf numFmtId="0" fontId="75" fillId="0" borderId="0" xfId="0" applyFont="1"/>
    <xf numFmtId="0" fontId="74" fillId="0" borderId="1" xfId="0" applyFont="1" applyBorder="1" applyAlignment="1">
      <alignment horizontal="center"/>
    </xf>
    <xf numFmtId="0" fontId="74" fillId="0" borderId="2" xfId="0" applyFont="1" applyBorder="1" applyAlignment="1">
      <alignment horizontal="center"/>
    </xf>
    <xf numFmtId="0" fontId="74" fillId="0" borderId="0" xfId="0" applyFont="1"/>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0"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164" fontId="14" fillId="0" borderId="51" xfId="0" applyNumberFormat="1" applyFont="1" applyBorder="1"/>
    <xf numFmtId="164" fontId="14" fillId="0" borderId="28" xfId="0" applyNumberFormat="1" applyFont="1" applyBorder="1"/>
    <xf numFmtId="10" fontId="13" fillId="6" borderId="7" xfId="83" applyNumberFormat="1" applyFont="1" applyFill="1" applyBorder="1" applyAlignment="1" applyProtection="1">
      <alignment horizontal="right" vertical="center"/>
      <protection locked="0"/>
    </xf>
    <xf numFmtId="10" fontId="11" fillId="0" borderId="0" xfId="0" applyNumberFormat="1" applyFont="1"/>
    <xf numFmtId="166" fontId="12" fillId="0" borderId="0" xfId="8" applyNumberFormat="1" applyFont="1"/>
    <xf numFmtId="166" fontId="32" fillId="6" borderId="0" xfId="138" applyNumberFormat="1" applyFont="1" applyFill="1" applyAlignment="1" applyProtection="1">
      <alignment horizontal="center" vertical="center"/>
      <protection locked="0"/>
    </xf>
    <xf numFmtId="166" fontId="12" fillId="6" borderId="0" xfId="138" applyNumberFormat="1" applyFont="1" applyFill="1" applyAlignment="1">
      <alignment vertical="center"/>
    </xf>
    <xf numFmtId="164" fontId="17" fillId="0" borderId="47" xfId="0" applyNumberFormat="1" applyFont="1" applyBorder="1" applyAlignment="1">
      <alignment horizontal="right" vertical="center" wrapText="1"/>
    </xf>
    <xf numFmtId="3" fontId="12" fillId="6" borderId="0" xfId="0" applyNumberFormat="1" applyFont="1" applyFill="1" applyAlignment="1">
      <alignment vertical="center"/>
    </xf>
    <xf numFmtId="0" fontId="0" fillId="6" borderId="0" xfId="0" applyFill="1" applyAlignment="1">
      <alignment vertical="center"/>
    </xf>
    <xf numFmtId="43" fontId="12" fillId="6" borderId="0" xfId="0" applyNumberFormat="1" applyFont="1" applyFill="1" applyAlignment="1">
      <alignment vertical="center"/>
    </xf>
    <xf numFmtId="9" fontId="29" fillId="0" borderId="47" xfId="0" applyNumberFormat="1" applyFont="1" applyBorder="1" applyAlignment="1">
      <alignment vertical="top" wrapText="1"/>
    </xf>
    <xf numFmtId="164" fontId="77" fillId="2" borderId="52" xfId="1" applyNumberFormat="1" applyFont="1" applyFill="1" applyBorder="1" applyAlignment="1" applyProtection="1">
      <alignment vertical="center"/>
      <protection locked="0"/>
    </xf>
    <xf numFmtId="164" fontId="0" fillId="0" borderId="0" xfId="1" applyNumberFormat="1" applyFont="1" applyAlignment="1">
      <alignment horizontal="left" vertical="center"/>
    </xf>
    <xf numFmtId="44" fontId="12" fillId="0" borderId="0" xfId="139" applyFont="1" applyAlignment="1">
      <alignment horizontal="left" vertical="center"/>
    </xf>
    <xf numFmtId="169" fontId="12" fillId="0" borderId="0" xfId="139" applyNumberFormat="1" applyFont="1" applyAlignment="1">
      <alignment horizontal="left" vertical="center"/>
    </xf>
    <xf numFmtId="0" fontId="0" fillId="0" borderId="0" xfId="1" applyFont="1" applyAlignment="1">
      <alignment horizontal="left" vertical="center"/>
    </xf>
    <xf numFmtId="0" fontId="0" fillId="0" borderId="0" xfId="1" applyFont="1"/>
    <xf numFmtId="169" fontId="12" fillId="0" borderId="0" xfId="10" applyNumberFormat="1" applyFont="1" applyAlignment="1">
      <alignment horizontal="left" vertical="center"/>
    </xf>
    <xf numFmtId="43" fontId="12" fillId="0" borderId="0" xfId="8" applyFont="1" applyAlignment="1">
      <alignment horizontal="left" vertical="center"/>
    </xf>
    <xf numFmtId="9" fontId="12" fillId="0" borderId="0" xfId="1" applyNumberFormat="1" applyAlignment="1">
      <alignment horizontal="left" vertical="center"/>
    </xf>
    <xf numFmtId="10" fontId="12" fillId="0" borderId="0" xfId="1" applyNumberFormat="1" applyAlignment="1">
      <alignment horizontal="left" vertical="center"/>
    </xf>
    <xf numFmtId="166" fontId="12" fillId="6" borderId="0" xfId="0" applyNumberFormat="1" applyFont="1" applyFill="1" applyAlignment="1">
      <alignment vertical="center"/>
    </xf>
    <xf numFmtId="165" fontId="0" fillId="3" borderId="1" xfId="1" applyNumberFormat="1" applyFont="1" applyFill="1" applyBorder="1" applyAlignment="1" applyProtection="1">
      <alignment horizontal="right"/>
      <protection locked="0"/>
    </xf>
    <xf numFmtId="166" fontId="0" fillId="6" borderId="0" xfId="0" applyNumberFormat="1" applyFill="1"/>
    <xf numFmtId="0" fontId="14" fillId="0" borderId="0" xfId="1" applyFont="1" applyAlignment="1" applyProtection="1">
      <alignment vertical="center" wrapText="1"/>
      <protection locked="0"/>
    </xf>
    <xf numFmtId="0" fontId="12" fillId="9" borderId="52" xfId="0" applyFont="1" applyFill="1" applyBorder="1" applyAlignment="1">
      <alignment vertical="center" wrapText="1"/>
    </xf>
    <xf numFmtId="166" fontId="12" fillId="0" borderId="0" xfId="138" applyNumberFormat="1" applyFont="1"/>
    <xf numFmtId="0" fontId="13" fillId="6" borderId="50" xfId="0" applyFont="1" applyFill="1" applyBorder="1" applyAlignment="1">
      <alignment vertical="center" wrapText="1"/>
    </xf>
    <xf numFmtId="6" fontId="12" fillId="0" borderId="50" xfId="0" applyNumberFormat="1" applyFont="1" applyBorder="1"/>
    <xf numFmtId="6" fontId="12" fillId="0" borderId="2" xfId="0" applyNumberFormat="1" applyFont="1" applyBorder="1"/>
    <xf numFmtId="6" fontId="70" fillId="0" borderId="21" xfId="0" applyNumberFormat="1" applyFont="1" applyBorder="1" applyAlignment="1">
      <alignment wrapText="1"/>
    </xf>
    <xf numFmtId="0" fontId="42" fillId="0" borderId="47" xfId="0" applyFont="1" applyBorder="1" applyAlignment="1">
      <alignment horizontal="center" vertical="top"/>
    </xf>
    <xf numFmtId="0" fontId="21" fillId="0" borderId="15" xfId="0" applyFont="1" applyBorder="1" applyAlignment="1">
      <alignment vertical="center"/>
    </xf>
    <xf numFmtId="0" fontId="0" fillId="0" borderId="15" xfId="0" applyBorder="1" applyAlignment="1">
      <alignment vertical="center"/>
    </xf>
    <xf numFmtId="0" fontId="0" fillId="0" borderId="13" xfId="0" applyBorder="1" applyAlignment="1">
      <alignment vertical="center"/>
    </xf>
    <xf numFmtId="164" fontId="14" fillId="9" borderId="51" xfId="0" applyNumberFormat="1" applyFont="1" applyFill="1" applyBorder="1" applyAlignment="1" applyProtection="1">
      <alignment horizontal="right" vertical="center" wrapText="1"/>
      <protection locked="0"/>
    </xf>
    <xf numFmtId="164" fontId="14" fillId="9" borderId="0" xfId="0" applyNumberFormat="1" applyFont="1" applyFill="1" applyAlignment="1" applyProtection="1">
      <alignment horizontal="right" vertical="center" wrapText="1"/>
      <protection locked="0"/>
    </xf>
    <xf numFmtId="170" fontId="0" fillId="0" borderId="0" xfId="0" applyNumberFormat="1"/>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9" fillId="0" borderId="16" xfId="7"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52" fillId="2" borderId="57" xfId="0" applyFont="1" applyFill="1" applyBorder="1" applyAlignment="1">
      <alignment horizontal="center" wrapText="1"/>
    </xf>
    <xf numFmtId="0" fontId="52" fillId="2" borderId="56" xfId="0" applyFont="1" applyFill="1" applyBorder="1" applyAlignment="1">
      <alignment horizontal="center" wrapText="1"/>
    </xf>
    <xf numFmtId="0" fontId="52" fillId="2" borderId="58"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0"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65" fontId="16" fillId="0" borderId="1" xfId="83" applyNumberFormat="1" applyFont="1" applyFill="1" applyBorder="1" applyAlignment="1">
      <alignment horizontal="center" vertical="center" wrapText="1"/>
    </xf>
    <xf numFmtId="165" fontId="16" fillId="0" borderId="52" xfId="83" applyNumberFormat="1" applyFont="1" applyFill="1" applyBorder="1" applyAlignment="1">
      <alignment horizontal="center" vertical="center" wrapText="1"/>
    </xf>
    <xf numFmtId="165" fontId="16" fillId="0" borderId="62" xfId="83" applyNumberFormat="1" applyFont="1" applyFill="1" applyBorder="1" applyAlignment="1">
      <alignment horizontal="center"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53"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6" fillId="0" borderId="50"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0" xfId="12" applyFont="1" applyBorder="1" applyAlignment="1">
      <alignment horizontal="center" vertical="center" wrapText="1"/>
    </xf>
    <xf numFmtId="0" fontId="12" fillId="0" borderId="54" xfId="1" applyBorder="1" applyAlignment="1">
      <alignment horizontal="center"/>
    </xf>
    <xf numFmtId="0" fontId="44" fillId="0" borderId="0" xfId="0" applyFont="1" applyAlignment="1">
      <alignment horizontal="left" vertical="center" wrapText="1"/>
    </xf>
    <xf numFmtId="0" fontId="14" fillId="0" borderId="54" xfId="1" applyFont="1" applyBorder="1" applyAlignment="1">
      <alignment horizontal="center"/>
    </xf>
    <xf numFmtId="0" fontId="22" fillId="0" borderId="0" xfId="1" applyFont="1" applyAlignment="1">
      <alignment horizontal="left" vertical="center"/>
    </xf>
    <xf numFmtId="0" fontId="11" fillId="0" borderId="54" xfId="1" applyFont="1" applyBorder="1" applyAlignment="1">
      <alignment horizontal="center" vertical="center"/>
    </xf>
    <xf numFmtId="0" fontId="11" fillId="0" borderId="8" xfId="1" applyFont="1" applyBorder="1" applyAlignment="1">
      <alignment horizontal="center" vertical="center"/>
    </xf>
    <xf numFmtId="0" fontId="17" fillId="0" borderId="54"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55" xfId="12" applyFont="1" applyBorder="1" applyAlignment="1">
      <alignment horizontal="center" vertical="center" wrapText="1"/>
    </xf>
    <xf numFmtId="0" fontId="55" fillId="0" borderId="51" xfId="1" applyFont="1" applyBorder="1" applyAlignment="1">
      <alignment horizontal="left" vertical="center" wrapText="1"/>
    </xf>
    <xf numFmtId="0" fontId="55"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3" fillId="6" borderId="3" xfId="1" applyFont="1" applyFill="1" applyBorder="1" applyAlignment="1" applyProtection="1">
      <alignment horizontal="center" vertical="center"/>
      <protection locked="0"/>
    </xf>
    <xf numFmtId="0" fontId="53"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1" xfId="0" applyFont="1" applyFill="1" applyBorder="1" applyAlignment="1">
      <alignment horizontal="left" vertical="center"/>
    </xf>
    <xf numFmtId="0" fontId="11" fillId="6" borderId="8" xfId="0" applyFont="1" applyFill="1" applyBorder="1" applyAlignment="1">
      <alignment horizontal="center"/>
    </xf>
    <xf numFmtId="0" fontId="18" fillId="0" borderId="51"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11" fillId="2" borderId="32" xfId="0" applyFont="1" applyFill="1" applyBorder="1" applyAlignment="1">
      <alignment horizontal="center" vertical="center"/>
    </xf>
    <xf numFmtId="0" fontId="31" fillId="2" borderId="32"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34" fillId="6" borderId="4" xfId="2" applyFont="1" applyFill="1" applyBorder="1" applyAlignment="1" applyProtection="1">
      <alignment horizontal="left" vertical="center"/>
    </xf>
    <xf numFmtId="0" fontId="34" fillId="6" borderId="50"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0" xfId="0" applyFont="1" applyFill="1" applyBorder="1" applyAlignment="1">
      <alignment horizontal="left" vertical="center"/>
    </xf>
    <xf numFmtId="0" fontId="19" fillId="2" borderId="33" xfId="0" applyFont="1" applyFill="1" applyBorder="1" applyAlignment="1">
      <alignment horizontal="left" vertical="center"/>
    </xf>
    <xf numFmtId="0" fontId="12" fillId="2" borderId="4" xfId="2" applyFont="1" applyFill="1" applyBorder="1" applyAlignment="1" applyProtection="1">
      <alignment horizontal="left" vertical="center"/>
    </xf>
    <xf numFmtId="0" fontId="12" fillId="2" borderId="50"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0"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50"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0" xfId="0" applyFont="1" applyBorder="1" applyAlignment="1">
      <alignment horizontal="left" vertical="center" indent="2"/>
    </xf>
    <xf numFmtId="0" fontId="12" fillId="0" borderId="33" xfId="0" applyFont="1" applyBorder="1" applyAlignment="1">
      <alignment horizontal="left" vertical="center" indent="2"/>
    </xf>
    <xf numFmtId="0" fontId="12" fillId="6" borderId="32" xfId="0" applyFont="1" applyFill="1" applyBorder="1" applyAlignment="1">
      <alignment horizontal="left" vertical="center" indent="2"/>
    </xf>
    <xf numFmtId="0" fontId="12" fillId="6" borderId="50" xfId="0" applyFont="1" applyFill="1" applyBorder="1" applyAlignment="1">
      <alignment horizontal="left" vertical="center" indent="2"/>
    </xf>
    <xf numFmtId="0" fontId="12" fillId="6" borderId="33" xfId="0" applyFont="1" applyFill="1" applyBorder="1" applyAlignment="1">
      <alignment horizontal="left" vertical="center" indent="2"/>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0"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1" xfId="0" applyFont="1" applyFill="1" applyBorder="1" applyAlignment="1">
      <alignment horizontal="center" vertical="center"/>
    </xf>
    <xf numFmtId="0" fontId="31" fillId="2" borderId="50" xfId="0" applyFont="1" applyFill="1" applyBorder="1" applyAlignment="1">
      <alignment horizontal="center" vertical="center"/>
    </xf>
  </cellXfs>
  <cellStyles count="140">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xfId="139" builtinId="4"/>
    <cellStyle name="Currency 2" xfId="10" xr:uid="{00000000-0005-0000-0000-000008000000}"/>
    <cellStyle name="Currency 2 2" xfId="115" xr:uid="{00000000-0005-0000-0000-000009000000}"/>
    <cellStyle name="Followed Hyperlink" xfId="72" builtinId="9" hidden="1"/>
    <cellStyle name="Followed Hyperlink" xfId="62" builtinId="9" hidden="1"/>
    <cellStyle name="Followed Hyperlink" xfId="60" builtinId="9" hidden="1"/>
    <cellStyle name="Followed Hyperlink" xfId="29" builtinId="9" hidden="1"/>
    <cellStyle name="Followed Hyperlink" xfId="71" builtinId="9" hidden="1"/>
    <cellStyle name="Followed Hyperlink" xfId="63" builtinId="9" hidden="1"/>
    <cellStyle name="Followed Hyperlink" xfId="59" builtinId="9" hidden="1"/>
    <cellStyle name="Followed Hyperlink" xfId="45" builtinId="9" hidden="1"/>
    <cellStyle name="Followed Hyperlink" xfId="58" builtinId="9" hidden="1"/>
    <cellStyle name="Followed Hyperlink" xfId="69" builtinId="9" hidden="1"/>
    <cellStyle name="Followed Hyperlink" xfId="50" builtinId="9" hidden="1"/>
    <cellStyle name="Followed Hyperlink" xfId="44" builtinId="9" hidden="1"/>
    <cellStyle name="Followed Hyperlink" xfId="70" builtinId="9" hidden="1"/>
    <cellStyle name="Followed Hyperlink" xfId="77" builtinId="9" hidden="1"/>
    <cellStyle name="Followed Hyperlink" xfId="47" builtinId="9" hidden="1"/>
    <cellStyle name="Followed Hyperlink" xfId="81" builtinId="9" hidden="1"/>
    <cellStyle name="Followed Hyperlink" xfId="42" builtinId="9" hidden="1"/>
    <cellStyle name="Followed Hyperlink" xfId="40" builtinId="9" hidden="1"/>
    <cellStyle name="Followed Hyperlink" xfId="82" builtinId="9" hidden="1"/>
    <cellStyle name="Followed Hyperlink" xfId="66" builtinId="9" hidden="1"/>
    <cellStyle name="Followed Hyperlink" xfId="67" builtinId="9" hidden="1"/>
    <cellStyle name="Followed Hyperlink" xfId="61" builtinId="9" hidden="1"/>
    <cellStyle name="Followed Hyperlink" xfId="68" builtinId="9" hidden="1"/>
    <cellStyle name="Followed Hyperlink" xfId="65" builtinId="9" hidden="1"/>
    <cellStyle name="Followed Hyperlink" xfId="74" builtinId="9" hidden="1"/>
    <cellStyle name="Followed Hyperlink" xfId="25" builtinId="9" hidden="1"/>
    <cellStyle name="Followed Hyperlink" xfId="64" builtinId="9" hidden="1"/>
    <cellStyle name="Followed Hyperlink" xfId="28" builtinId="9" hidden="1"/>
    <cellStyle name="Followed Hyperlink" xfId="49" builtinId="9" hidden="1"/>
    <cellStyle name="Followed Hyperlink" xfId="27" builtinId="9" hidden="1"/>
    <cellStyle name="Followed Hyperlink" xfId="19" builtinId="9" hidden="1"/>
    <cellStyle name="Followed Hyperlink" xfId="38" builtinId="9" hidden="1"/>
    <cellStyle name="Followed Hyperlink" xfId="20" builtinId="9" hidden="1"/>
    <cellStyle name="Followed Hyperlink" xfId="36" builtinId="9" hidden="1"/>
    <cellStyle name="Followed Hyperlink" xfId="73" builtinId="9" hidden="1"/>
    <cellStyle name="Followed Hyperlink" xfId="18" builtinId="9" hidden="1"/>
    <cellStyle name="Followed Hyperlink" xfId="75" builtinId="9" hidden="1"/>
    <cellStyle name="Followed Hyperlink" xfId="76" builtinId="9" hidden="1"/>
    <cellStyle name="Followed Hyperlink" xfId="80" builtinId="9" hidden="1"/>
    <cellStyle name="Followed Hyperlink" xfId="48" builtinId="9" hidden="1"/>
    <cellStyle name="Followed Hyperlink" xfId="46" builtinId="9" hidden="1"/>
    <cellStyle name="Followed Hyperlink" xfId="32" builtinId="9" hidden="1"/>
    <cellStyle name="Followed Hyperlink" xfId="78" builtinId="9" hidden="1"/>
    <cellStyle name="Followed Hyperlink" xfId="24" builtinId="9" hidden="1"/>
    <cellStyle name="Followed Hyperlink" xfId="26" builtinId="9" hidden="1"/>
    <cellStyle name="Followed Hyperlink" xfId="55" builtinId="9" hidden="1"/>
    <cellStyle name="Followed Hyperlink" xfId="43" builtinId="9" hidden="1"/>
    <cellStyle name="Followed Hyperlink" xfId="54" builtinId="9" hidden="1"/>
    <cellStyle name="Followed Hyperlink" xfId="31" builtinId="9" hidden="1"/>
    <cellStyle name="Followed Hyperlink" xfId="79" builtinId="9" hidden="1"/>
    <cellStyle name="Followed Hyperlink" xfId="56" builtinId="9" hidden="1"/>
    <cellStyle name="Followed Hyperlink" xfId="23" builtinId="9" hidden="1"/>
    <cellStyle name="Followed Hyperlink" xfId="35" builtinId="9" hidden="1"/>
    <cellStyle name="Followed Hyperlink" xfId="51" builtinId="9" hidden="1"/>
    <cellStyle name="Followed Hyperlink" xfId="39" builtinId="9" hidden="1"/>
    <cellStyle name="Followed Hyperlink" xfId="53" builtinId="9" hidden="1"/>
    <cellStyle name="Followed Hyperlink" xfId="15" builtinId="9" hidden="1"/>
    <cellStyle name="Followed Hyperlink" xfId="34" builtinId="9" hidden="1"/>
    <cellStyle name="Followed Hyperlink" xfId="57" builtinId="9" hidden="1"/>
    <cellStyle name="Followed Hyperlink" xfId="52" builtinId="9" hidden="1"/>
    <cellStyle name="Followed Hyperlink" xfId="30" builtinId="9" hidden="1"/>
    <cellStyle name="Followed Hyperlink" xfId="21" builtinId="9" hidden="1"/>
    <cellStyle name="Followed Hyperlink" xfId="16" builtinId="9" hidden="1"/>
    <cellStyle name="Followed Hyperlink" xfId="41" builtinId="9" hidden="1"/>
    <cellStyle name="Followed Hyperlink" xfId="37" builtinId="9" hidden="1"/>
    <cellStyle name="Followed Hyperlink" xfId="33" builtinId="9" hidden="1"/>
    <cellStyle name="Followed Hyperlink" xfId="17" builtinId="9" hidden="1"/>
    <cellStyle name="Followed Hyperlink" xfId="22"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Q:\Custom\FPA_Budget\State%20Activities\SCHEV\Six%20Year%20Plan\July%202023%20Submission\Copy%20of%20UVA%20SCHEV_FY25%20and%20FY26%20(From%20FM%20-%20O&amp;M).xlsx" TargetMode="External"/><Relationship Id="rId1" Type="http://schemas.openxmlformats.org/officeDocument/2006/relationships/externalLinkPath" Target="/personal/pqc2f_virginia_edu/Documents/2023%20Six-Year%20Plan/Copy%20of%20UVA%20SCHEV_FY25%20and%20FY26%20(From%20FM%20-%20O&am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ew space and deletion"/>
      <sheetName val="O&amp;M"/>
      <sheetName val="Support per Blake"/>
    </sheetNames>
    <sheetDataSet>
      <sheetData sheetId="0" refreshError="1"/>
      <sheetData sheetId="1" refreshError="1"/>
      <sheetData sheetId="2">
        <row r="25">
          <cell r="M25">
            <v>1128175.8999999999</v>
          </cell>
        </row>
        <row r="26">
          <cell r="M26">
            <v>1409719.8</v>
          </cell>
        </row>
        <row r="27">
          <cell r="M27">
            <v>97578.25</v>
          </cell>
        </row>
        <row r="28">
          <cell r="M28">
            <v>2542534.2000000002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c@virginia.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workbookViewId="0"/>
  </sheetViews>
  <sheetFormatPr defaultColWidth="164.42578125" defaultRowHeight="15" x14ac:dyDescent="0.2"/>
  <cols>
    <col min="1" max="1" width="170.5703125" style="53" customWidth="1"/>
    <col min="2" max="16384" width="164.42578125" style="53"/>
  </cols>
  <sheetData>
    <row r="1" spans="1:1" ht="21" customHeight="1" x14ac:dyDescent="0.2">
      <c r="A1" s="52" t="s">
        <v>0</v>
      </c>
    </row>
    <row r="2" spans="1:1" ht="21" customHeight="1" x14ac:dyDescent="0.2">
      <c r="A2" s="52" t="s">
        <v>1</v>
      </c>
    </row>
    <row r="3" spans="1:1" ht="21" customHeight="1" x14ac:dyDescent="0.2">
      <c r="A3" s="346" t="s">
        <v>2</v>
      </c>
    </row>
    <row r="4" spans="1:1" ht="16.350000000000001" customHeight="1" x14ac:dyDescent="0.2">
      <c r="A4" s="347"/>
    </row>
    <row r="5" spans="1:1" ht="21" customHeight="1" x14ac:dyDescent="0.2">
      <c r="A5" s="54" t="s">
        <v>3</v>
      </c>
    </row>
    <row r="6" spans="1:1" s="55" customFormat="1" ht="75" customHeight="1" x14ac:dyDescent="0.2">
      <c r="A6" s="64" t="s">
        <v>4</v>
      </c>
    </row>
    <row r="7" spans="1:1" s="56" customFormat="1" ht="21" customHeight="1" x14ac:dyDescent="0.2">
      <c r="A7" s="54" t="s">
        <v>5</v>
      </c>
    </row>
    <row r="8" spans="1:1" s="55" customFormat="1" ht="69.599999999999994" customHeight="1" x14ac:dyDescent="0.2">
      <c r="A8" s="348" t="s">
        <v>6</v>
      </c>
    </row>
    <row r="9" spans="1:1" s="55" customFormat="1" ht="54.6" customHeight="1" thickBot="1" x14ac:dyDescent="0.25">
      <c r="A9" s="57" t="s">
        <v>7</v>
      </c>
    </row>
    <row r="10" spans="1:1" s="55" customFormat="1" ht="33" customHeight="1" thickBot="1" x14ac:dyDescent="0.25">
      <c r="A10" s="58" t="s">
        <v>8</v>
      </c>
    </row>
    <row r="11" spans="1:1" s="55" customFormat="1" ht="23.45" customHeight="1" x14ac:dyDescent="0.2">
      <c r="A11" s="60" t="s">
        <v>9</v>
      </c>
    </row>
    <row r="12" spans="1:1" s="55" customFormat="1" ht="57" customHeight="1" x14ac:dyDescent="0.2">
      <c r="A12" s="61" t="s">
        <v>10</v>
      </c>
    </row>
    <row r="13" spans="1:1" s="59" customFormat="1" ht="21" customHeight="1" x14ac:dyDescent="0.2">
      <c r="A13" s="60" t="s">
        <v>11</v>
      </c>
    </row>
    <row r="14" spans="1:1" s="59" customFormat="1" ht="73.5" customHeight="1" x14ac:dyDescent="0.2">
      <c r="A14" s="64" t="s">
        <v>12</v>
      </c>
    </row>
    <row r="15" spans="1:1" s="59" customFormat="1" ht="50.1" customHeight="1" x14ac:dyDescent="0.2">
      <c r="A15" s="64" t="s">
        <v>13</v>
      </c>
    </row>
    <row r="16" spans="1:1" s="63" customFormat="1" ht="21" customHeight="1" x14ac:dyDescent="0.2">
      <c r="A16" s="62" t="s">
        <v>14</v>
      </c>
    </row>
    <row r="17" spans="1:18" s="59" customFormat="1" ht="100.5" customHeight="1" x14ac:dyDescent="0.2">
      <c r="A17" s="64" t="s">
        <v>15</v>
      </c>
    </row>
    <row r="18" spans="1:18" s="59" customFormat="1" ht="21" customHeight="1" x14ac:dyDescent="0.2">
      <c r="A18" s="60" t="s">
        <v>16</v>
      </c>
    </row>
    <row r="19" spans="1:18" s="59" customFormat="1" ht="353.25" customHeight="1" x14ac:dyDescent="0.2">
      <c r="A19" s="366" t="s">
        <v>17</v>
      </c>
      <c r="B19" s="349"/>
      <c r="C19" s="349"/>
      <c r="D19" s="349"/>
      <c r="E19" s="349"/>
      <c r="F19" s="349"/>
      <c r="G19" s="349"/>
      <c r="H19" s="349"/>
      <c r="I19" s="349"/>
      <c r="J19" s="349"/>
      <c r="K19" s="349"/>
      <c r="L19" s="349"/>
      <c r="M19" s="349"/>
      <c r="N19" s="349"/>
      <c r="O19" s="349"/>
    </row>
    <row r="20" spans="1:18" s="59" customFormat="1" ht="180" x14ac:dyDescent="0.2">
      <c r="A20" s="350" t="s">
        <v>18</v>
      </c>
      <c r="B20" s="349"/>
      <c r="C20" s="349"/>
      <c r="D20" s="349"/>
      <c r="E20" s="349"/>
      <c r="F20" s="349"/>
      <c r="G20" s="349"/>
      <c r="H20" s="349"/>
      <c r="I20" s="349"/>
      <c r="J20" s="349"/>
      <c r="K20" s="349"/>
      <c r="L20" s="349"/>
      <c r="M20" s="349"/>
      <c r="N20" s="349"/>
      <c r="O20" s="349"/>
    </row>
    <row r="21" spans="1:18" s="55" customFormat="1" ht="37.5" customHeight="1" x14ac:dyDescent="0.2">
      <c r="A21" s="351" t="s">
        <v>19</v>
      </c>
    </row>
    <row r="22" spans="1:18" s="55" customFormat="1" ht="33.6" customHeight="1" x14ac:dyDescent="0.2">
      <c r="A22" s="352" t="s">
        <v>20</v>
      </c>
    </row>
    <row r="23" spans="1:18" s="55" customFormat="1" ht="21" customHeight="1" x14ac:dyDescent="0.2">
      <c r="A23" s="353" t="s">
        <v>21</v>
      </c>
    </row>
    <row r="24" spans="1:18" s="55" customFormat="1" ht="21" customHeight="1" x14ac:dyDescent="0.2">
      <c r="A24" s="353" t="s">
        <v>22</v>
      </c>
    </row>
    <row r="25" spans="1:18" s="55" customFormat="1" ht="21" customHeight="1" x14ac:dyDescent="0.2">
      <c r="A25" s="354" t="s">
        <v>23</v>
      </c>
    </row>
    <row r="26" spans="1:18" s="63" customFormat="1" ht="21" customHeight="1" thickBot="1" x14ac:dyDescent="0.25">
      <c r="A26" s="60" t="s">
        <v>24</v>
      </c>
      <c r="B26" s="229"/>
      <c r="C26" s="229"/>
      <c r="D26" s="229"/>
      <c r="E26" s="229"/>
      <c r="F26" s="229"/>
      <c r="G26" s="229"/>
      <c r="H26" s="229"/>
    </row>
    <row r="27" spans="1:18" s="55" customFormat="1" ht="145.5" customHeight="1" x14ac:dyDescent="0.2">
      <c r="A27" s="355" t="s">
        <v>25</v>
      </c>
      <c r="B27" s="228"/>
      <c r="C27" s="228"/>
      <c r="D27" s="228"/>
      <c r="E27" s="228"/>
      <c r="F27" s="228"/>
      <c r="G27" s="228"/>
      <c r="H27" s="228"/>
      <c r="I27" s="228"/>
      <c r="J27" s="228"/>
      <c r="K27" s="228"/>
      <c r="L27" s="228"/>
      <c r="M27" s="228"/>
      <c r="N27" s="228"/>
      <c r="O27" s="228"/>
      <c r="P27" s="228"/>
      <c r="Q27" s="228"/>
      <c r="R27" s="228"/>
    </row>
    <row r="28" spans="1:18" s="55" customFormat="1" ht="21" customHeight="1" x14ac:dyDescent="0.2">
      <c r="A28" s="60" t="s">
        <v>26</v>
      </c>
    </row>
    <row r="29" spans="1:18" s="55" customFormat="1" ht="147.75" customHeight="1" x14ac:dyDescent="0.2">
      <c r="A29" s="356" t="s">
        <v>27</v>
      </c>
      <c r="B29" s="228"/>
      <c r="C29" s="228"/>
      <c r="D29" s="228"/>
      <c r="E29" s="228"/>
      <c r="F29" s="228"/>
      <c r="G29" s="228"/>
      <c r="H29" s="228"/>
    </row>
    <row r="30" spans="1:18" s="55" customFormat="1" ht="38.450000000000003" customHeight="1" x14ac:dyDescent="0.2">
      <c r="A30" s="61" t="s">
        <v>28</v>
      </c>
    </row>
    <row r="31" spans="1:18" s="55" customFormat="1" ht="69" customHeight="1" x14ac:dyDescent="0.2">
      <c r="A31" s="61" t="s">
        <v>29</v>
      </c>
    </row>
    <row r="32" spans="1:18" s="59" customFormat="1" ht="51.6" customHeight="1" x14ac:dyDescent="0.2">
      <c r="A32" s="64" t="s">
        <v>30</v>
      </c>
    </row>
    <row r="33" spans="1:1" s="59" customFormat="1" ht="21" customHeight="1" x14ac:dyDescent="0.2">
      <c r="A33" s="65" t="s">
        <v>31</v>
      </c>
    </row>
    <row r="34" spans="1:1" ht="21" customHeight="1" x14ac:dyDescent="0.2">
      <c r="A34" s="66" t="s">
        <v>32</v>
      </c>
    </row>
    <row r="35" spans="1:1" ht="21" customHeight="1" x14ac:dyDescent="0.2">
      <c r="A35" s="66" t="s">
        <v>33</v>
      </c>
    </row>
    <row r="36" spans="1:1" s="55" customFormat="1" ht="21" customHeight="1" x14ac:dyDescent="0.2">
      <c r="A36" s="66" t="s">
        <v>34</v>
      </c>
    </row>
    <row r="37" spans="1:1" s="55" customFormat="1" ht="21" customHeight="1" x14ac:dyDescent="0.2">
      <c r="A37" s="66" t="s">
        <v>35</v>
      </c>
    </row>
    <row r="38" spans="1:1" s="55" customFormat="1" ht="21" customHeight="1" x14ac:dyDescent="0.2">
      <c r="A38" s="66" t="s">
        <v>36</v>
      </c>
    </row>
    <row r="39" spans="1:1" s="55" customFormat="1" ht="21" customHeight="1" x14ac:dyDescent="0.2">
      <c r="A39" s="60" t="s">
        <v>37</v>
      </c>
    </row>
    <row r="40" spans="1:1" s="59" customFormat="1" ht="21" customHeight="1" x14ac:dyDescent="0.2">
      <c r="A40" s="67" t="s">
        <v>38</v>
      </c>
    </row>
    <row r="41" spans="1:1" s="69" customFormat="1" ht="145.35" customHeight="1" x14ac:dyDescent="0.2">
      <c r="A41" s="68" t="s">
        <v>39</v>
      </c>
    </row>
    <row r="42" spans="1:1" s="69" customFormat="1" ht="57.6" customHeight="1" x14ac:dyDescent="0.2">
      <c r="A42" s="68" t="s">
        <v>40</v>
      </c>
    </row>
    <row r="43" spans="1:1" s="69" customFormat="1" ht="64.349999999999994" customHeight="1" x14ac:dyDescent="0.2">
      <c r="A43" s="68" t="s">
        <v>41</v>
      </c>
    </row>
    <row r="44" spans="1:1" s="69" customFormat="1" ht="77.099999999999994" customHeight="1" x14ac:dyDescent="0.2">
      <c r="A44" s="68" t="s">
        <v>42</v>
      </c>
    </row>
    <row r="45" spans="1:1" s="69" customFormat="1" ht="28.35" customHeight="1" x14ac:dyDescent="0.2">
      <c r="A45" s="68" t="s">
        <v>43</v>
      </c>
    </row>
    <row r="46" spans="1:1" s="69" customFormat="1" ht="26.1" customHeight="1" x14ac:dyDescent="0.2">
      <c r="A46" s="70" t="s">
        <v>44</v>
      </c>
    </row>
    <row r="47" spans="1:1" s="69" customFormat="1" ht="36" customHeight="1" x14ac:dyDescent="0.2">
      <c r="A47" s="68" t="s">
        <v>45</v>
      </c>
    </row>
    <row r="48" spans="1:1" s="69" customFormat="1" ht="20.25" customHeight="1" x14ac:dyDescent="0.2">
      <c r="A48" s="68" t="s">
        <v>46</v>
      </c>
    </row>
    <row r="49" spans="1:1" s="69" customFormat="1" ht="21.6" customHeight="1" x14ac:dyDescent="0.2">
      <c r="A49" s="68" t="s">
        <v>47</v>
      </c>
    </row>
    <row r="50" spans="1:1" s="69" customFormat="1" ht="24.6" customHeight="1" x14ac:dyDescent="0.2">
      <c r="A50" s="70" t="s">
        <v>48</v>
      </c>
    </row>
    <row r="51" spans="1:1" s="69" customFormat="1" ht="17.45" customHeight="1" x14ac:dyDescent="0.2">
      <c r="A51" s="70" t="s">
        <v>49</v>
      </c>
    </row>
    <row r="52" spans="1:1" s="69" customFormat="1" ht="35.1" customHeight="1" x14ac:dyDescent="0.2">
      <c r="A52" s="70" t="s">
        <v>50</v>
      </c>
    </row>
    <row r="53" spans="1:1" s="69" customFormat="1" ht="57" customHeight="1" x14ac:dyDescent="0.2">
      <c r="A53" s="70" t="s">
        <v>51</v>
      </c>
    </row>
    <row r="54" spans="1:1" s="69" customFormat="1" ht="62.1" customHeight="1" x14ac:dyDescent="0.2">
      <c r="A54" s="70" t="s">
        <v>52</v>
      </c>
    </row>
    <row r="55" spans="1:1" s="69" customFormat="1" ht="107.1" customHeight="1" x14ac:dyDescent="0.2">
      <c r="A55" s="70" t="s">
        <v>53</v>
      </c>
    </row>
    <row r="56" spans="1:1" s="69" customFormat="1" ht="63" customHeight="1" x14ac:dyDescent="0.2">
      <c r="A56" s="70" t="s">
        <v>54</v>
      </c>
    </row>
    <row r="57" spans="1:1" s="69" customFormat="1" ht="24" customHeight="1" x14ac:dyDescent="0.2">
      <c r="A57" s="70" t="s">
        <v>55</v>
      </c>
    </row>
    <row r="58" spans="1:1" s="69" customFormat="1" ht="23.1" customHeight="1" x14ac:dyDescent="0.2">
      <c r="A58" s="70" t="s">
        <v>56</v>
      </c>
    </row>
    <row r="59" spans="1:1" s="55" customFormat="1" ht="85.5" x14ac:dyDescent="0.2">
      <c r="A59" s="70" t="s">
        <v>57</v>
      </c>
    </row>
    <row r="60" spans="1:1" s="55" customFormat="1" ht="51.6" customHeight="1" x14ac:dyDescent="0.2">
      <c r="A60" s="70" t="s">
        <v>58</v>
      </c>
    </row>
    <row r="61" spans="1:1" s="55" customFormat="1" ht="89.45" customHeight="1" x14ac:dyDescent="0.2">
      <c r="A61" s="70" t="s">
        <v>59</v>
      </c>
    </row>
    <row r="62" spans="1:1" s="55" customFormat="1" ht="32.450000000000003" customHeight="1" x14ac:dyDescent="0.2">
      <c r="A62" s="70" t="s">
        <v>60</v>
      </c>
    </row>
    <row r="63" spans="1:1" hidden="1" x14ac:dyDescent="0.2">
      <c r="A63" s="71"/>
    </row>
    <row r="64" spans="1:1" hidden="1" x14ac:dyDescent="0.2">
      <c r="A64" s="71"/>
    </row>
    <row r="65" spans="1:1" hidden="1" x14ac:dyDescent="0.2">
      <c r="A65" s="71"/>
    </row>
    <row r="66" spans="1:1" s="92" customFormat="1" x14ac:dyDescent="0.2"/>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2.75" x14ac:dyDescent="0.2"/>
  <cols>
    <col min="1" max="1" width="40" bestFit="1" customWidth="1"/>
  </cols>
  <sheetData>
    <row r="1" spans="1:1" x14ac:dyDescent="0.2">
      <c r="A1" s="302" t="s">
        <v>306</v>
      </c>
    </row>
    <row r="2" spans="1:1" ht="15" x14ac:dyDescent="0.2">
      <c r="A2" s="300" t="s">
        <v>293</v>
      </c>
    </row>
    <row r="3" spans="1:1" ht="15" x14ac:dyDescent="0.2">
      <c r="A3" s="180" t="s">
        <v>307</v>
      </c>
    </row>
    <row r="4" spans="1:1" ht="15" x14ac:dyDescent="0.2">
      <c r="A4" s="300" t="s">
        <v>308</v>
      </c>
    </row>
    <row r="5" spans="1:1" ht="15" x14ac:dyDescent="0.2">
      <c r="A5" s="300" t="s">
        <v>309</v>
      </c>
    </row>
    <row r="6" spans="1:1" ht="15" x14ac:dyDescent="0.2">
      <c r="A6" s="299" t="s">
        <v>310</v>
      </c>
    </row>
    <row r="7" spans="1:1" ht="15" x14ac:dyDescent="0.2">
      <c r="A7" s="300" t="s">
        <v>311</v>
      </c>
    </row>
    <row r="8" spans="1:1" ht="15" x14ac:dyDescent="0.2">
      <c r="A8" s="301" t="s">
        <v>312</v>
      </c>
    </row>
    <row r="9" spans="1:1" ht="15" x14ac:dyDescent="0.2">
      <c r="A9" s="301" t="s">
        <v>313</v>
      </c>
    </row>
    <row r="10" spans="1:1" ht="15" x14ac:dyDescent="0.2">
      <c r="A10" s="303" t="s">
        <v>301</v>
      </c>
    </row>
    <row r="11" spans="1:1" ht="15" x14ac:dyDescent="0.2">
      <c r="A11" s="303" t="s">
        <v>296</v>
      </c>
    </row>
    <row r="12" spans="1:1" ht="15" x14ac:dyDescent="0.2">
      <c r="A12" s="301" t="s">
        <v>314</v>
      </c>
    </row>
    <row r="13" spans="1:1" ht="15" x14ac:dyDescent="0.2">
      <c r="A13" s="301" t="s">
        <v>291</v>
      </c>
    </row>
    <row r="14" spans="1:1" ht="15" x14ac:dyDescent="0.2">
      <c r="A14" s="301" t="s">
        <v>298</v>
      </c>
    </row>
    <row r="15" spans="1:1" ht="15" x14ac:dyDescent="0.2">
      <c r="A15" s="180" t="s">
        <v>315</v>
      </c>
    </row>
    <row r="16" spans="1:1" ht="15" x14ac:dyDescent="0.2">
      <c r="A16" s="180" t="s">
        <v>316</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1" customFormat="1" ht="20.100000000000001" customHeight="1" x14ac:dyDescent="0.35">
      <c r="A1" s="439" t="str">
        <f>'Institution ID'!A1</f>
        <v>Six-Year Plans (2023): 2024-25 through 2029-30</v>
      </c>
      <c r="B1" s="439"/>
      <c r="C1" s="439"/>
      <c r="D1" s="439"/>
      <c r="E1" s="439"/>
      <c r="F1" s="439"/>
      <c r="G1" s="439"/>
      <c r="H1" s="439"/>
      <c r="I1" s="9"/>
      <c r="J1" s="8"/>
      <c r="K1" s="8"/>
      <c r="L1" s="8"/>
      <c r="M1" s="8"/>
    </row>
    <row r="2" spans="1:13" s="1" customFormat="1" ht="20.100000000000001" customHeight="1" x14ac:dyDescent="0.2">
      <c r="A2" s="368" t="str">
        <f>'Institution ID'!C3</f>
        <v>University of Virginia</v>
      </c>
      <c r="B2" s="31"/>
      <c r="C2" s="31"/>
      <c r="D2" s="31"/>
      <c r="E2" s="31"/>
      <c r="F2" s="31"/>
      <c r="G2" s="31"/>
      <c r="H2" s="31"/>
      <c r="I2" s="31"/>
      <c r="J2" s="8"/>
      <c r="K2" s="8"/>
      <c r="L2" s="8"/>
      <c r="M2" s="8"/>
    </row>
    <row r="3" spans="1:13" ht="20.100000000000001" customHeight="1" x14ac:dyDescent="0.2">
      <c r="A3" s="30" t="s">
        <v>317</v>
      </c>
      <c r="B3" s="30"/>
      <c r="C3" s="30"/>
      <c r="D3" s="30"/>
      <c r="E3" s="30"/>
      <c r="F3" s="30"/>
      <c r="G3" s="30"/>
      <c r="H3" s="30"/>
      <c r="I3" s="30"/>
    </row>
    <row r="4" spans="1:13" ht="20.100000000000001" customHeight="1" x14ac:dyDescent="0.2">
      <c r="A4" s="30" t="s">
        <v>318</v>
      </c>
      <c r="B4" s="30"/>
      <c r="C4" s="30"/>
      <c r="D4" s="30"/>
      <c r="E4" s="30"/>
      <c r="F4" s="30"/>
      <c r="G4" s="30"/>
      <c r="H4" s="30"/>
      <c r="I4" s="30"/>
    </row>
    <row r="5" spans="1:13" ht="20.100000000000001" customHeight="1" thickBot="1" x14ac:dyDescent="0.3">
      <c r="A5" s="11"/>
      <c r="B5" s="11"/>
      <c r="C5" s="11"/>
      <c r="D5" s="11"/>
      <c r="E5" s="11"/>
      <c r="F5" s="11"/>
      <c r="G5" s="11"/>
      <c r="H5" s="11"/>
      <c r="I5" s="11"/>
    </row>
    <row r="6" spans="1:13" s="12" customFormat="1" ht="20.100000000000001" customHeight="1" x14ac:dyDescent="0.2">
      <c r="A6" s="588" t="s">
        <v>319</v>
      </c>
      <c r="B6" s="589"/>
      <c r="C6" s="589"/>
      <c r="D6" s="589"/>
      <c r="E6" s="589"/>
      <c r="F6" s="589"/>
      <c r="G6" s="589"/>
      <c r="H6" s="590"/>
      <c r="I6" s="15"/>
    </row>
    <row r="7" spans="1:13" s="1" customFormat="1" ht="20.100000000000001" customHeight="1" x14ac:dyDescent="0.2">
      <c r="A7" s="528" t="s">
        <v>320</v>
      </c>
      <c r="B7" s="591"/>
      <c r="C7" s="591"/>
      <c r="D7" s="591"/>
      <c r="E7" s="591"/>
      <c r="F7" s="591"/>
      <c r="G7" s="591"/>
      <c r="H7" s="522"/>
    </row>
    <row r="8" spans="1:13" s="1" customFormat="1" ht="20.100000000000001" customHeight="1" x14ac:dyDescent="0.2">
      <c r="A8" s="530" t="s">
        <v>321</v>
      </c>
      <c r="B8" s="530" t="s">
        <v>322</v>
      </c>
      <c r="C8" s="530"/>
      <c r="D8" s="530"/>
      <c r="E8" s="530" t="s">
        <v>323</v>
      </c>
      <c r="F8" s="530"/>
      <c r="G8" s="530"/>
      <c r="H8" s="563" t="s">
        <v>155</v>
      </c>
    </row>
    <row r="9" spans="1:13" s="1" customFormat="1" ht="20.100000000000001" customHeight="1" x14ac:dyDescent="0.2">
      <c r="A9" s="592"/>
      <c r="B9" s="373" t="s">
        <v>324</v>
      </c>
      <c r="C9" s="373" t="s">
        <v>325</v>
      </c>
      <c r="D9" s="373" t="s">
        <v>155</v>
      </c>
      <c r="E9" s="373" t="s">
        <v>324</v>
      </c>
      <c r="F9" s="373" t="s">
        <v>325</v>
      </c>
      <c r="G9" s="373" t="s">
        <v>155</v>
      </c>
      <c r="H9" s="564"/>
    </row>
    <row r="10" spans="1:13" s="1" customFormat="1" ht="20.100000000000001" customHeight="1" x14ac:dyDescent="0.2">
      <c r="A10" s="21" t="s">
        <v>147</v>
      </c>
      <c r="B10" s="13">
        <v>206500</v>
      </c>
      <c r="C10" s="13">
        <v>58002</v>
      </c>
      <c r="D10" s="14">
        <f>B10+C10</f>
        <v>264502</v>
      </c>
      <c r="E10" s="13">
        <v>73902</v>
      </c>
      <c r="F10" s="13">
        <v>19763</v>
      </c>
      <c r="G10" s="18">
        <f>E10+F10</f>
        <v>93665</v>
      </c>
      <c r="H10" s="20">
        <f>SUM(D10,G10)</f>
        <v>358167</v>
      </c>
    </row>
    <row r="11" spans="1:13" s="1" customFormat="1" ht="20.100000000000001" customHeight="1" x14ac:dyDescent="0.2">
      <c r="A11" s="374" t="s">
        <v>326</v>
      </c>
      <c r="B11" s="13">
        <v>0</v>
      </c>
      <c r="C11" s="13">
        <v>0</v>
      </c>
      <c r="D11" s="14">
        <f>B11+C11</f>
        <v>0</v>
      </c>
      <c r="E11" s="13">
        <v>0</v>
      </c>
      <c r="F11" s="13">
        <v>0</v>
      </c>
      <c r="G11" s="18">
        <f>E11+F11</f>
        <v>0</v>
      </c>
      <c r="H11" s="20">
        <f>SUM(D11,G11)</f>
        <v>0</v>
      </c>
    </row>
    <row r="12" spans="1:13" s="1" customFormat="1" ht="20.100000000000001" customHeight="1" x14ac:dyDescent="0.2">
      <c r="A12" s="374" t="s">
        <v>327</v>
      </c>
      <c r="B12" s="102">
        <v>0</v>
      </c>
      <c r="C12" s="102">
        <v>0</v>
      </c>
      <c r="D12" s="103">
        <f t="shared" ref="D12:D25" si="0">B12+C12</f>
        <v>0</v>
      </c>
      <c r="E12" s="102">
        <v>830621</v>
      </c>
      <c r="F12" s="102">
        <v>19920</v>
      </c>
      <c r="G12" s="19">
        <f t="shared" ref="G12:G25" si="1">E12+F12</f>
        <v>850541</v>
      </c>
      <c r="H12" s="20">
        <f t="shared" ref="H12:H25" si="2">SUM(D12,G12)</f>
        <v>850541</v>
      </c>
    </row>
    <row r="13" spans="1:13" s="1" customFormat="1" ht="20.100000000000001" customHeight="1" x14ac:dyDescent="0.2">
      <c r="A13" s="374" t="s">
        <v>328</v>
      </c>
      <c r="B13" s="102">
        <v>0</v>
      </c>
      <c r="C13" s="102">
        <v>0</v>
      </c>
      <c r="D13" s="103">
        <f t="shared" si="0"/>
        <v>0</v>
      </c>
      <c r="E13" s="102">
        <v>38052</v>
      </c>
      <c r="F13" s="102">
        <v>0</v>
      </c>
      <c r="G13" s="19">
        <f t="shared" si="1"/>
        <v>38052</v>
      </c>
      <c r="H13" s="20">
        <f t="shared" si="2"/>
        <v>38052</v>
      </c>
    </row>
    <row r="14" spans="1:13" s="1" customFormat="1" ht="20.100000000000001" customHeight="1" x14ac:dyDescent="0.2">
      <c r="A14" s="28" t="s">
        <v>329</v>
      </c>
      <c r="B14" s="104"/>
      <c r="C14" s="104"/>
      <c r="D14" s="104"/>
      <c r="E14" s="104"/>
      <c r="F14" s="104"/>
      <c r="G14" s="29"/>
      <c r="H14" s="29"/>
    </row>
    <row r="15" spans="1:13" s="1" customFormat="1" ht="20.100000000000001" customHeight="1" x14ac:dyDescent="0.2">
      <c r="A15" s="374" t="s">
        <v>330</v>
      </c>
      <c r="B15" s="102">
        <v>0</v>
      </c>
      <c r="C15" s="102">
        <v>0</v>
      </c>
      <c r="D15" s="103">
        <f t="shared" si="0"/>
        <v>0</v>
      </c>
      <c r="E15" s="102">
        <v>0</v>
      </c>
      <c r="F15" s="102">
        <v>0</v>
      </c>
      <c r="G15" s="19">
        <f t="shared" si="1"/>
        <v>0</v>
      </c>
      <c r="H15" s="20">
        <f t="shared" si="2"/>
        <v>0</v>
      </c>
    </row>
    <row r="16" spans="1:13" s="1" customFormat="1" ht="20.100000000000001" customHeight="1" x14ac:dyDescent="0.2">
      <c r="A16" s="374" t="s">
        <v>331</v>
      </c>
      <c r="B16" s="104"/>
      <c r="C16" s="104"/>
      <c r="D16" s="104"/>
      <c r="E16" s="104"/>
      <c r="F16" s="104"/>
      <c r="G16" s="29"/>
      <c r="H16" s="29"/>
    </row>
    <row r="17" spans="1:8" s="1" customFormat="1" ht="20.100000000000001" customHeight="1" x14ac:dyDescent="0.2">
      <c r="A17" s="374" t="s">
        <v>332</v>
      </c>
      <c r="B17" s="102">
        <v>0</v>
      </c>
      <c r="C17" s="102">
        <v>0</v>
      </c>
      <c r="D17" s="103">
        <f t="shared" si="0"/>
        <v>0</v>
      </c>
      <c r="E17" s="102">
        <v>0</v>
      </c>
      <c r="F17" s="102">
        <v>0</v>
      </c>
      <c r="G17" s="19">
        <f t="shared" si="1"/>
        <v>0</v>
      </c>
      <c r="H17" s="20">
        <f t="shared" si="2"/>
        <v>0</v>
      </c>
    </row>
    <row r="18" spans="1:8" s="1" customFormat="1" ht="20.100000000000001" customHeight="1" x14ac:dyDescent="0.2">
      <c r="A18" s="374" t="s">
        <v>333</v>
      </c>
      <c r="B18" s="102">
        <v>0</v>
      </c>
      <c r="C18" s="102">
        <v>0</v>
      </c>
      <c r="D18" s="103">
        <f t="shared" si="0"/>
        <v>0</v>
      </c>
      <c r="E18" s="102">
        <v>0</v>
      </c>
      <c r="F18" s="102">
        <v>0</v>
      </c>
      <c r="G18" s="19">
        <f t="shared" si="1"/>
        <v>0</v>
      </c>
      <c r="H18" s="20">
        <f t="shared" si="2"/>
        <v>0</v>
      </c>
    </row>
    <row r="19" spans="1:8" s="1" customFormat="1" ht="20.100000000000001" customHeight="1" x14ac:dyDescent="0.2">
      <c r="A19" s="374" t="s">
        <v>334</v>
      </c>
      <c r="B19" s="102">
        <v>0</v>
      </c>
      <c r="C19" s="102">
        <v>0</v>
      </c>
      <c r="D19" s="103">
        <f t="shared" si="0"/>
        <v>0</v>
      </c>
      <c r="E19" s="102">
        <v>0</v>
      </c>
      <c r="F19" s="102">
        <v>0</v>
      </c>
      <c r="G19" s="19">
        <f t="shared" si="1"/>
        <v>0</v>
      </c>
      <c r="H19" s="20">
        <f t="shared" si="2"/>
        <v>0</v>
      </c>
    </row>
    <row r="20" spans="1:8" s="1" customFormat="1" ht="20.100000000000001" customHeight="1" x14ac:dyDescent="0.2">
      <c r="A20" s="374" t="s">
        <v>335</v>
      </c>
      <c r="B20" s="102">
        <v>0</v>
      </c>
      <c r="C20" s="102">
        <v>0</v>
      </c>
      <c r="D20" s="103">
        <f t="shared" si="0"/>
        <v>0</v>
      </c>
      <c r="E20" s="102">
        <v>16913</v>
      </c>
      <c r="F20" s="102">
        <v>0</v>
      </c>
      <c r="G20" s="19">
        <f t="shared" si="1"/>
        <v>16913</v>
      </c>
      <c r="H20" s="20">
        <f t="shared" si="2"/>
        <v>16913</v>
      </c>
    </row>
    <row r="21" spans="1:8" s="1" customFormat="1" ht="20.100000000000001" customHeight="1" x14ac:dyDescent="0.2">
      <c r="A21" s="374" t="s">
        <v>336</v>
      </c>
      <c r="B21" s="102">
        <v>32682</v>
      </c>
      <c r="C21" s="102">
        <v>0</v>
      </c>
      <c r="D21" s="103">
        <f t="shared" si="0"/>
        <v>32682</v>
      </c>
      <c r="E21" s="102">
        <v>0</v>
      </c>
      <c r="F21" s="102">
        <v>0</v>
      </c>
      <c r="G21" s="19">
        <f t="shared" si="1"/>
        <v>0</v>
      </c>
      <c r="H21" s="20">
        <f t="shared" si="2"/>
        <v>32682</v>
      </c>
    </row>
    <row r="22" spans="1:8" s="1" customFormat="1" ht="20.100000000000001" customHeight="1" x14ac:dyDescent="0.2">
      <c r="A22" s="374" t="s">
        <v>337</v>
      </c>
      <c r="B22" s="102">
        <v>0</v>
      </c>
      <c r="C22" s="102">
        <v>0</v>
      </c>
      <c r="D22" s="103">
        <f t="shared" si="0"/>
        <v>0</v>
      </c>
      <c r="E22" s="102">
        <v>0</v>
      </c>
      <c r="F22" s="102">
        <v>0</v>
      </c>
      <c r="G22" s="19">
        <f t="shared" si="1"/>
        <v>0</v>
      </c>
      <c r="H22" s="20">
        <f t="shared" si="2"/>
        <v>0</v>
      </c>
    </row>
    <row r="23" spans="1:8" s="1" customFormat="1" ht="20.100000000000001" customHeight="1" x14ac:dyDescent="0.2">
      <c r="A23" s="374" t="s">
        <v>338</v>
      </c>
      <c r="B23" s="102">
        <v>120156</v>
      </c>
      <c r="C23" s="102">
        <v>0</v>
      </c>
      <c r="D23" s="103">
        <f t="shared" si="0"/>
        <v>120156</v>
      </c>
      <c r="E23" s="102">
        <v>0</v>
      </c>
      <c r="F23" s="102">
        <v>0</v>
      </c>
      <c r="G23" s="19">
        <f t="shared" si="1"/>
        <v>0</v>
      </c>
      <c r="H23" s="20">
        <f t="shared" si="2"/>
        <v>120156</v>
      </c>
    </row>
    <row r="24" spans="1:8" s="1" customFormat="1" ht="20.100000000000001" customHeight="1" x14ac:dyDescent="0.2">
      <c r="A24" s="374" t="s">
        <v>339</v>
      </c>
      <c r="B24" s="102">
        <v>16341</v>
      </c>
      <c r="C24" s="102">
        <v>4520</v>
      </c>
      <c r="D24" s="103">
        <f t="shared" ref="D24" si="3">B24+C24</f>
        <v>20861</v>
      </c>
      <c r="E24" s="102">
        <v>9648</v>
      </c>
      <c r="F24" s="102">
        <v>0</v>
      </c>
      <c r="G24" s="19">
        <f t="shared" ref="G24" si="4">E24+F24</f>
        <v>9648</v>
      </c>
      <c r="H24" s="20">
        <f t="shared" ref="H24" si="5">SUM(D24,G24)</f>
        <v>30509</v>
      </c>
    </row>
    <row r="25" spans="1:8" s="1" customFormat="1" ht="20.100000000000001" customHeight="1" x14ac:dyDescent="0.2">
      <c r="A25" s="374" t="s">
        <v>340</v>
      </c>
      <c r="B25" s="102">
        <v>0</v>
      </c>
      <c r="C25" s="102">
        <v>0</v>
      </c>
      <c r="D25" s="103">
        <f t="shared" si="0"/>
        <v>0</v>
      </c>
      <c r="E25" s="102">
        <v>0</v>
      </c>
      <c r="F25" s="102">
        <v>16480</v>
      </c>
      <c r="G25" s="19">
        <f t="shared" si="1"/>
        <v>16480</v>
      </c>
      <c r="H25" s="20">
        <f t="shared" si="2"/>
        <v>16480</v>
      </c>
    </row>
    <row r="26" spans="1:8" s="1" customFormat="1" ht="20.100000000000001" customHeight="1" thickBot="1" x14ac:dyDescent="0.25">
      <c r="A26" s="16" t="s">
        <v>155</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25">
      <c r="A27" s="526"/>
      <c r="B27" s="527"/>
      <c r="C27" s="527"/>
      <c r="D27" s="527"/>
      <c r="E27" s="527"/>
      <c r="F27" s="527"/>
      <c r="G27" s="527"/>
      <c r="H27" s="527"/>
    </row>
    <row r="28" spans="1:8" s="1" customFormat="1" ht="20.100000000000001" customHeight="1" x14ac:dyDescent="0.2">
      <c r="A28" s="523" t="s">
        <v>341</v>
      </c>
      <c r="B28" s="524"/>
      <c r="C28" s="524"/>
      <c r="D28" s="524"/>
      <c r="E28" s="524"/>
      <c r="F28" s="524"/>
      <c r="G28" s="524"/>
      <c r="H28" s="525"/>
    </row>
    <row r="29" spans="1:8" s="1" customFormat="1" ht="20.100000000000001" customHeight="1" x14ac:dyDescent="0.2">
      <c r="A29" s="531" t="s">
        <v>321</v>
      </c>
      <c r="B29" s="530" t="s">
        <v>322</v>
      </c>
      <c r="C29" s="530"/>
      <c r="D29" s="530"/>
      <c r="E29" s="530" t="s">
        <v>323</v>
      </c>
      <c r="F29" s="530"/>
      <c r="G29" s="530"/>
      <c r="H29" s="522" t="s">
        <v>155</v>
      </c>
    </row>
    <row r="30" spans="1:8" s="1" customFormat="1" ht="20.100000000000001" customHeight="1" thickBot="1" x14ac:dyDescent="0.25">
      <c r="A30" s="532"/>
      <c r="B30" s="373" t="s">
        <v>324</v>
      </c>
      <c r="C30" s="373" t="s">
        <v>325</v>
      </c>
      <c r="D30" s="373" t="s">
        <v>155</v>
      </c>
      <c r="E30" s="373" t="s">
        <v>324</v>
      </c>
      <c r="F30" s="373" t="s">
        <v>325</v>
      </c>
      <c r="G30" s="373" t="s">
        <v>155</v>
      </c>
      <c r="H30" s="565"/>
    </row>
    <row r="31" spans="1:8" s="1" customFormat="1" ht="20.100000000000001" customHeight="1" x14ac:dyDescent="0.2">
      <c r="A31" s="21" t="s">
        <v>147</v>
      </c>
      <c r="B31" s="13">
        <v>342500</v>
      </c>
      <c r="C31" s="13">
        <v>76070</v>
      </c>
      <c r="D31" s="14">
        <f>B31+C31</f>
        <v>418570</v>
      </c>
      <c r="E31" s="13">
        <v>27845</v>
      </c>
      <c r="F31" s="13">
        <v>11470</v>
      </c>
      <c r="G31" s="18">
        <f>E31+F31</f>
        <v>39315</v>
      </c>
      <c r="H31" s="20">
        <f>SUM(D31,G31)</f>
        <v>457885</v>
      </c>
    </row>
    <row r="32" spans="1:8" s="1" customFormat="1" ht="20.100000000000001" customHeight="1" x14ac:dyDescent="0.2">
      <c r="A32" s="374" t="s">
        <v>326</v>
      </c>
      <c r="B32" s="13">
        <v>0</v>
      </c>
      <c r="C32" s="13">
        <v>0</v>
      </c>
      <c r="D32" s="14">
        <f>B32+C32</f>
        <v>0</v>
      </c>
      <c r="E32" s="13">
        <v>0</v>
      </c>
      <c r="F32" s="13">
        <v>0</v>
      </c>
      <c r="G32" s="18">
        <f>E32+F32</f>
        <v>0</v>
      </c>
      <c r="H32" s="20">
        <f>SUM(D32,G32)</f>
        <v>0</v>
      </c>
    </row>
    <row r="33" spans="1:8" s="1" customFormat="1" ht="20.100000000000001" customHeight="1" x14ac:dyDescent="0.2">
      <c r="A33" s="374" t="s">
        <v>327</v>
      </c>
      <c r="B33" s="102">
        <v>0</v>
      </c>
      <c r="C33" s="102">
        <v>0</v>
      </c>
      <c r="D33" s="103">
        <f t="shared" ref="D33:D34" si="7">B33+C33</f>
        <v>0</v>
      </c>
      <c r="E33" s="102">
        <v>920700</v>
      </c>
      <c r="F33" s="102">
        <v>0</v>
      </c>
      <c r="G33" s="19">
        <f t="shared" ref="G33:G34" si="8">E33+F33</f>
        <v>920700</v>
      </c>
      <c r="H33" s="20">
        <f t="shared" ref="H33:H34" si="9">SUM(D33,G33)</f>
        <v>920700</v>
      </c>
    </row>
    <row r="34" spans="1:8" s="1" customFormat="1" ht="20.100000000000001" customHeight="1" x14ac:dyDescent="0.2">
      <c r="A34" s="374" t="s">
        <v>328</v>
      </c>
      <c r="B34" s="102">
        <v>0</v>
      </c>
      <c r="C34" s="102">
        <v>0</v>
      </c>
      <c r="D34" s="103">
        <f t="shared" si="7"/>
        <v>0</v>
      </c>
      <c r="E34" s="102">
        <v>19800</v>
      </c>
      <c r="F34" s="102">
        <v>0</v>
      </c>
      <c r="G34" s="19">
        <f t="shared" si="8"/>
        <v>19800</v>
      </c>
      <c r="H34" s="20">
        <f t="shared" si="9"/>
        <v>19800</v>
      </c>
    </row>
    <row r="35" spans="1:8" s="1" customFormat="1" ht="20.100000000000001" customHeight="1" x14ac:dyDescent="0.2">
      <c r="A35" s="28" t="s">
        <v>329</v>
      </c>
      <c r="B35" s="104"/>
      <c r="C35" s="104"/>
      <c r="D35" s="104"/>
      <c r="E35" s="104"/>
      <c r="F35" s="104"/>
      <c r="G35" s="29"/>
      <c r="H35" s="29"/>
    </row>
    <row r="36" spans="1:8" s="1" customFormat="1" ht="20.100000000000001" customHeight="1" x14ac:dyDescent="0.2">
      <c r="A36" s="374" t="s">
        <v>330</v>
      </c>
      <c r="B36" s="102">
        <v>0</v>
      </c>
      <c r="C36" s="102">
        <v>0</v>
      </c>
      <c r="D36" s="103">
        <f t="shared" ref="D36" si="10">B36+C36</f>
        <v>0</v>
      </c>
      <c r="E36" s="102">
        <v>0</v>
      </c>
      <c r="F36" s="102">
        <v>0</v>
      </c>
      <c r="G36" s="19">
        <f t="shared" ref="G36" si="11">E36+F36</f>
        <v>0</v>
      </c>
      <c r="H36" s="20">
        <f t="shared" ref="H36" si="12">SUM(D36,G36)</f>
        <v>0</v>
      </c>
    </row>
    <row r="37" spans="1:8" s="1" customFormat="1" ht="20.100000000000001" customHeight="1" x14ac:dyDescent="0.2">
      <c r="A37" s="374" t="s">
        <v>331</v>
      </c>
      <c r="B37" s="102">
        <v>0</v>
      </c>
      <c r="C37" s="102">
        <v>0</v>
      </c>
      <c r="D37" s="103">
        <f t="shared" ref="D37" si="13">B37+C37</f>
        <v>0</v>
      </c>
      <c r="E37" s="102">
        <v>0</v>
      </c>
      <c r="F37" s="102">
        <v>0</v>
      </c>
      <c r="G37" s="19">
        <f t="shared" ref="G37" si="14">E37+F37</f>
        <v>0</v>
      </c>
      <c r="H37" s="20">
        <f t="shared" ref="H37" si="15">SUM(D37,G37)</f>
        <v>0</v>
      </c>
    </row>
    <row r="38" spans="1:8" s="1" customFormat="1" ht="20.100000000000001" customHeight="1" x14ac:dyDescent="0.2">
      <c r="A38" s="374" t="s">
        <v>332</v>
      </c>
      <c r="B38" s="102">
        <v>0</v>
      </c>
      <c r="C38" s="102">
        <v>0</v>
      </c>
      <c r="D38" s="103">
        <f t="shared" ref="D38:D46" si="16">B38+C38</f>
        <v>0</v>
      </c>
      <c r="E38" s="102">
        <v>0</v>
      </c>
      <c r="F38" s="102">
        <v>0</v>
      </c>
      <c r="G38" s="19">
        <f t="shared" ref="G38:G46" si="17">E38+F38</f>
        <v>0</v>
      </c>
      <c r="H38" s="20">
        <f t="shared" ref="H38:H46" si="18">SUM(D38,G38)</f>
        <v>0</v>
      </c>
    </row>
    <row r="39" spans="1:8" s="1" customFormat="1" ht="20.100000000000001" customHeight="1" x14ac:dyDescent="0.2">
      <c r="A39" s="374" t="s">
        <v>333</v>
      </c>
      <c r="B39" s="102">
        <v>0</v>
      </c>
      <c r="C39" s="102">
        <v>0</v>
      </c>
      <c r="D39" s="103">
        <f t="shared" si="16"/>
        <v>0</v>
      </c>
      <c r="E39" s="102">
        <v>0</v>
      </c>
      <c r="F39" s="102">
        <v>0</v>
      </c>
      <c r="G39" s="19">
        <f t="shared" si="17"/>
        <v>0</v>
      </c>
      <c r="H39" s="20">
        <f t="shared" si="18"/>
        <v>0</v>
      </c>
    </row>
    <row r="40" spans="1:8" s="1" customFormat="1" ht="20.100000000000001" customHeight="1" x14ac:dyDescent="0.2">
      <c r="A40" s="374" t="s">
        <v>334</v>
      </c>
      <c r="B40" s="102">
        <v>0</v>
      </c>
      <c r="C40" s="102">
        <v>0</v>
      </c>
      <c r="D40" s="103">
        <f t="shared" si="16"/>
        <v>0</v>
      </c>
      <c r="E40" s="102">
        <v>0</v>
      </c>
      <c r="F40" s="102">
        <v>0</v>
      </c>
      <c r="G40" s="19">
        <f t="shared" si="17"/>
        <v>0</v>
      </c>
      <c r="H40" s="20">
        <f t="shared" si="18"/>
        <v>0</v>
      </c>
    </row>
    <row r="41" spans="1:8" s="1" customFormat="1" ht="20.100000000000001" customHeight="1" x14ac:dyDescent="0.2">
      <c r="A41" s="374" t="s">
        <v>335</v>
      </c>
      <c r="B41" s="102">
        <v>0</v>
      </c>
      <c r="C41" s="102">
        <v>0</v>
      </c>
      <c r="D41" s="103">
        <f t="shared" si="16"/>
        <v>0</v>
      </c>
      <c r="E41" s="102">
        <v>0</v>
      </c>
      <c r="F41" s="102">
        <v>0</v>
      </c>
      <c r="G41" s="19">
        <f t="shared" si="17"/>
        <v>0</v>
      </c>
      <c r="H41" s="20">
        <f t="shared" si="18"/>
        <v>0</v>
      </c>
    </row>
    <row r="42" spans="1:8" s="1" customFormat="1" ht="20.100000000000001" customHeight="1" x14ac:dyDescent="0.2">
      <c r="A42" s="374" t="s">
        <v>336</v>
      </c>
      <c r="B42" s="102">
        <v>42885</v>
      </c>
      <c r="C42" s="102">
        <v>0</v>
      </c>
      <c r="D42" s="103">
        <f t="shared" si="16"/>
        <v>42885</v>
      </c>
      <c r="E42" s="102">
        <v>0</v>
      </c>
      <c r="F42" s="102">
        <v>0</v>
      </c>
      <c r="G42" s="19">
        <f t="shared" si="17"/>
        <v>0</v>
      </c>
      <c r="H42" s="20">
        <f t="shared" si="18"/>
        <v>42885</v>
      </c>
    </row>
    <row r="43" spans="1:8" s="1" customFormat="1" ht="20.100000000000001" customHeight="1" x14ac:dyDescent="0.2">
      <c r="A43" s="374" t="s">
        <v>337</v>
      </c>
      <c r="B43" s="102">
        <v>0</v>
      </c>
      <c r="C43" s="102">
        <v>0</v>
      </c>
      <c r="D43" s="103">
        <f t="shared" si="16"/>
        <v>0</v>
      </c>
      <c r="E43" s="102">
        <v>0</v>
      </c>
      <c r="F43" s="102">
        <v>0</v>
      </c>
      <c r="G43" s="19">
        <f t="shared" si="17"/>
        <v>0</v>
      </c>
      <c r="H43" s="20">
        <f t="shared" si="18"/>
        <v>0</v>
      </c>
    </row>
    <row r="44" spans="1:8" s="1" customFormat="1" ht="20.100000000000001" customHeight="1" x14ac:dyDescent="0.2">
      <c r="A44" s="374" t="s">
        <v>338</v>
      </c>
      <c r="B44" s="102">
        <v>90301</v>
      </c>
      <c r="C44" s="102">
        <v>0</v>
      </c>
      <c r="D44" s="103">
        <f t="shared" si="16"/>
        <v>90301</v>
      </c>
      <c r="E44" s="102">
        <v>0</v>
      </c>
      <c r="F44" s="102">
        <v>0</v>
      </c>
      <c r="G44" s="19">
        <f t="shared" si="17"/>
        <v>0</v>
      </c>
      <c r="H44" s="20">
        <f t="shared" si="18"/>
        <v>90301</v>
      </c>
    </row>
    <row r="45" spans="1:8" s="1" customFormat="1" ht="20.100000000000001" customHeight="1" x14ac:dyDescent="0.2">
      <c r="A45" s="374" t="s">
        <v>339</v>
      </c>
      <c r="B45" s="102">
        <v>10536</v>
      </c>
      <c r="C45" s="102">
        <v>0</v>
      </c>
      <c r="D45" s="103">
        <f t="shared" si="16"/>
        <v>10536</v>
      </c>
      <c r="E45" s="102">
        <v>2517</v>
      </c>
      <c r="F45" s="102">
        <v>0</v>
      </c>
      <c r="G45" s="19">
        <f t="shared" si="17"/>
        <v>2517</v>
      </c>
      <c r="H45" s="20">
        <f t="shared" si="18"/>
        <v>13053</v>
      </c>
    </row>
    <row r="46" spans="1:8" s="1" customFormat="1" ht="20.100000000000001" customHeight="1" x14ac:dyDescent="0.2">
      <c r="A46" s="374" t="s">
        <v>340</v>
      </c>
      <c r="B46" s="102">
        <v>0</v>
      </c>
      <c r="C46" s="102">
        <v>0</v>
      </c>
      <c r="D46" s="103">
        <f t="shared" si="16"/>
        <v>0</v>
      </c>
      <c r="E46" s="102">
        <v>0</v>
      </c>
      <c r="F46" s="102">
        <v>0</v>
      </c>
      <c r="G46" s="19">
        <f t="shared" si="17"/>
        <v>0</v>
      </c>
      <c r="H46" s="20">
        <f t="shared" si="18"/>
        <v>0</v>
      </c>
    </row>
    <row r="47" spans="1:8" s="1" customFormat="1" ht="20.100000000000001" customHeight="1" thickBot="1" x14ac:dyDescent="0.25">
      <c r="A47" s="16" t="s">
        <v>155</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25">
      <c r="A48" s="526"/>
      <c r="B48" s="527"/>
      <c r="C48" s="527"/>
      <c r="D48" s="527"/>
      <c r="E48" s="527"/>
      <c r="F48" s="527"/>
      <c r="G48" s="527"/>
      <c r="H48" s="527"/>
    </row>
    <row r="49" spans="1:8" s="1" customFormat="1" ht="20.100000000000001" customHeight="1" x14ac:dyDescent="0.2">
      <c r="A49" s="523" t="s">
        <v>342</v>
      </c>
      <c r="B49" s="524"/>
      <c r="C49" s="524"/>
      <c r="D49" s="524"/>
      <c r="E49" s="524"/>
      <c r="F49" s="524"/>
      <c r="G49" s="524"/>
      <c r="H49" s="525"/>
    </row>
    <row r="50" spans="1:8" s="1" customFormat="1" ht="20.100000000000001" customHeight="1" x14ac:dyDescent="0.2">
      <c r="A50" s="531" t="s">
        <v>321</v>
      </c>
      <c r="B50" s="530" t="s">
        <v>322</v>
      </c>
      <c r="C50" s="530"/>
      <c r="D50" s="530"/>
      <c r="E50" s="530" t="s">
        <v>323</v>
      </c>
      <c r="F50" s="530"/>
      <c r="G50" s="530"/>
      <c r="H50" s="522" t="s">
        <v>155</v>
      </c>
    </row>
    <row r="51" spans="1:8" s="1" customFormat="1" ht="20.100000000000001" customHeight="1" thickBot="1" x14ac:dyDescent="0.25">
      <c r="A51" s="532"/>
      <c r="B51" s="373" t="s">
        <v>324</v>
      </c>
      <c r="C51" s="373" t="s">
        <v>325</v>
      </c>
      <c r="D51" s="373" t="s">
        <v>155</v>
      </c>
      <c r="E51" s="373" t="s">
        <v>324</v>
      </c>
      <c r="F51" s="373" t="s">
        <v>325</v>
      </c>
      <c r="G51" s="373" t="s">
        <v>155</v>
      </c>
      <c r="H51" s="522"/>
    </row>
    <row r="52" spans="1:8" s="1" customFormat="1" ht="20.100000000000001" customHeight="1" x14ac:dyDescent="0.2">
      <c r="A52" s="21" t="s">
        <v>147</v>
      </c>
      <c r="B52" s="13">
        <v>356200</v>
      </c>
      <c r="C52" s="13">
        <v>79113</v>
      </c>
      <c r="D52" s="14">
        <f>B52+C52</f>
        <v>435313</v>
      </c>
      <c r="E52" s="13">
        <v>28959</v>
      </c>
      <c r="F52" s="13">
        <v>11929</v>
      </c>
      <c r="G52" s="18">
        <f>E52+F52</f>
        <v>40888</v>
      </c>
      <c r="H52" s="20">
        <f>SUM(D52,G52)</f>
        <v>476201</v>
      </c>
    </row>
    <row r="53" spans="1:8" s="1" customFormat="1" ht="20.100000000000001" customHeight="1" x14ac:dyDescent="0.2">
      <c r="A53" s="374" t="s">
        <v>326</v>
      </c>
      <c r="B53" s="13">
        <v>0</v>
      </c>
      <c r="C53" s="13">
        <v>0</v>
      </c>
      <c r="D53" s="14">
        <f>B53+C53</f>
        <v>0</v>
      </c>
      <c r="E53" s="13">
        <v>0</v>
      </c>
      <c r="F53" s="13">
        <v>0</v>
      </c>
      <c r="G53" s="18">
        <f>E53+F53</f>
        <v>0</v>
      </c>
      <c r="H53" s="20">
        <f>SUM(D53,G53)</f>
        <v>0</v>
      </c>
    </row>
    <row r="54" spans="1:8" s="1" customFormat="1" ht="20.100000000000001" customHeight="1" x14ac:dyDescent="0.2">
      <c r="A54" s="374" t="s">
        <v>327</v>
      </c>
      <c r="B54" s="102">
        <v>0</v>
      </c>
      <c r="C54" s="102">
        <v>0</v>
      </c>
      <c r="D54" s="103">
        <f t="shared" ref="D54:D55" si="25">B54+C54</f>
        <v>0</v>
      </c>
      <c r="E54" s="102">
        <v>957528</v>
      </c>
      <c r="F54" s="102">
        <v>0</v>
      </c>
      <c r="G54" s="19">
        <f t="shared" ref="G54:G55" si="26">E54+F54</f>
        <v>957528</v>
      </c>
      <c r="H54" s="20">
        <f t="shared" ref="H54:H55" si="27">SUM(D54,G54)</f>
        <v>957528</v>
      </c>
    </row>
    <row r="55" spans="1:8" s="1" customFormat="1" ht="20.100000000000001" customHeight="1" x14ac:dyDescent="0.2">
      <c r="A55" s="374" t="s">
        <v>328</v>
      </c>
      <c r="B55" s="102">
        <v>0</v>
      </c>
      <c r="C55" s="102">
        <v>0</v>
      </c>
      <c r="D55" s="103">
        <f t="shared" si="25"/>
        <v>0</v>
      </c>
      <c r="E55" s="102">
        <v>20592</v>
      </c>
      <c r="F55" s="102">
        <v>0</v>
      </c>
      <c r="G55" s="19">
        <f t="shared" si="26"/>
        <v>20592</v>
      </c>
      <c r="H55" s="20">
        <f t="shared" si="27"/>
        <v>20592</v>
      </c>
    </row>
    <row r="56" spans="1:8" s="1" customFormat="1" ht="20.100000000000001" customHeight="1" x14ac:dyDescent="0.2">
      <c r="A56" s="28" t="s">
        <v>329</v>
      </c>
      <c r="B56" s="102">
        <v>0</v>
      </c>
      <c r="C56" s="102">
        <v>0</v>
      </c>
      <c r="D56" s="103">
        <f t="shared" ref="D56" si="28">B56+C56</f>
        <v>0</v>
      </c>
      <c r="E56" s="102">
        <v>0</v>
      </c>
      <c r="F56" s="102">
        <v>0</v>
      </c>
      <c r="G56" s="19">
        <f t="shared" ref="G56" si="29">E56+F56</f>
        <v>0</v>
      </c>
      <c r="H56" s="20">
        <f t="shared" ref="H56" si="30">SUM(D56,G56)</f>
        <v>0</v>
      </c>
    </row>
    <row r="57" spans="1:8" s="1" customFormat="1" ht="20.100000000000001" customHeight="1" x14ac:dyDescent="0.2">
      <c r="A57" s="374" t="s">
        <v>330</v>
      </c>
      <c r="B57" s="102">
        <v>0</v>
      </c>
      <c r="C57" s="102">
        <v>0</v>
      </c>
      <c r="D57" s="103">
        <f t="shared" ref="D57:D67" si="31">B57+C57</f>
        <v>0</v>
      </c>
      <c r="E57" s="102">
        <v>0</v>
      </c>
      <c r="F57" s="102">
        <v>0</v>
      </c>
      <c r="G57" s="19">
        <f t="shared" ref="G57:G67" si="32">E57+F57</f>
        <v>0</v>
      </c>
      <c r="H57" s="20">
        <f t="shared" ref="H57:H67" si="33">SUM(D57,G57)</f>
        <v>0</v>
      </c>
    </row>
    <row r="58" spans="1:8" s="1" customFormat="1" ht="20.100000000000001" customHeight="1" x14ac:dyDescent="0.2">
      <c r="A58" s="374" t="s">
        <v>331</v>
      </c>
      <c r="B58" s="102">
        <v>0</v>
      </c>
      <c r="C58" s="102">
        <v>0</v>
      </c>
      <c r="D58" s="103">
        <f t="shared" si="31"/>
        <v>0</v>
      </c>
      <c r="E58" s="102">
        <v>0</v>
      </c>
      <c r="F58" s="102">
        <v>0</v>
      </c>
      <c r="G58" s="19">
        <f t="shared" si="32"/>
        <v>0</v>
      </c>
      <c r="H58" s="20">
        <f t="shared" si="33"/>
        <v>0</v>
      </c>
    </row>
    <row r="59" spans="1:8" s="1" customFormat="1" ht="20.100000000000001" customHeight="1" x14ac:dyDescent="0.2">
      <c r="A59" s="374" t="s">
        <v>332</v>
      </c>
      <c r="B59" s="102">
        <v>0</v>
      </c>
      <c r="C59" s="102">
        <v>0</v>
      </c>
      <c r="D59" s="103">
        <f t="shared" si="31"/>
        <v>0</v>
      </c>
      <c r="E59" s="102">
        <v>0</v>
      </c>
      <c r="F59" s="102">
        <v>0</v>
      </c>
      <c r="G59" s="19">
        <f t="shared" si="32"/>
        <v>0</v>
      </c>
      <c r="H59" s="20">
        <f t="shared" si="33"/>
        <v>0</v>
      </c>
    </row>
    <row r="60" spans="1:8" s="1" customFormat="1" ht="20.100000000000001" customHeight="1" x14ac:dyDescent="0.2">
      <c r="A60" s="374" t="s">
        <v>333</v>
      </c>
      <c r="B60" s="102">
        <v>0</v>
      </c>
      <c r="C60" s="102">
        <v>0</v>
      </c>
      <c r="D60" s="103">
        <f t="shared" si="31"/>
        <v>0</v>
      </c>
      <c r="E60" s="102">
        <v>0</v>
      </c>
      <c r="F60" s="102">
        <v>0</v>
      </c>
      <c r="G60" s="19">
        <f t="shared" si="32"/>
        <v>0</v>
      </c>
      <c r="H60" s="20">
        <f t="shared" si="33"/>
        <v>0</v>
      </c>
    </row>
    <row r="61" spans="1:8" s="1" customFormat="1" ht="20.100000000000001" customHeight="1" x14ac:dyDescent="0.2">
      <c r="A61" s="374" t="s">
        <v>334</v>
      </c>
      <c r="B61" s="102">
        <v>0</v>
      </c>
      <c r="C61" s="102">
        <v>0</v>
      </c>
      <c r="D61" s="103">
        <f t="shared" si="31"/>
        <v>0</v>
      </c>
      <c r="E61" s="102">
        <v>0</v>
      </c>
      <c r="F61" s="102">
        <v>0</v>
      </c>
      <c r="G61" s="19">
        <f t="shared" si="32"/>
        <v>0</v>
      </c>
      <c r="H61" s="20">
        <f t="shared" si="33"/>
        <v>0</v>
      </c>
    </row>
    <row r="62" spans="1:8" s="1" customFormat="1" ht="20.100000000000001" customHeight="1" x14ac:dyDescent="0.2">
      <c r="A62" s="374" t="s">
        <v>335</v>
      </c>
      <c r="B62" s="102">
        <v>0</v>
      </c>
      <c r="C62" s="102">
        <v>0</v>
      </c>
      <c r="D62" s="103">
        <f t="shared" si="31"/>
        <v>0</v>
      </c>
      <c r="E62" s="102">
        <v>0</v>
      </c>
      <c r="F62" s="102">
        <v>0</v>
      </c>
      <c r="G62" s="19">
        <f t="shared" si="32"/>
        <v>0</v>
      </c>
      <c r="H62" s="20">
        <f t="shared" si="33"/>
        <v>0</v>
      </c>
    </row>
    <row r="63" spans="1:8" s="1" customFormat="1" ht="20.100000000000001" customHeight="1" x14ac:dyDescent="0.2">
      <c r="A63" s="374" t="s">
        <v>336</v>
      </c>
      <c r="B63" s="102">
        <v>44600</v>
      </c>
      <c r="C63" s="102">
        <v>0</v>
      </c>
      <c r="D63" s="103">
        <f t="shared" si="31"/>
        <v>44600</v>
      </c>
      <c r="E63" s="102">
        <v>0</v>
      </c>
      <c r="F63" s="102">
        <v>0</v>
      </c>
      <c r="G63" s="19">
        <f t="shared" si="32"/>
        <v>0</v>
      </c>
      <c r="H63" s="20">
        <f t="shared" si="33"/>
        <v>44600</v>
      </c>
    </row>
    <row r="64" spans="1:8" s="1" customFormat="1" ht="20.100000000000001" customHeight="1" x14ac:dyDescent="0.2">
      <c r="A64" s="374" t="s">
        <v>337</v>
      </c>
      <c r="B64" s="102">
        <v>0</v>
      </c>
      <c r="C64" s="102">
        <v>0</v>
      </c>
      <c r="D64" s="103">
        <f t="shared" si="31"/>
        <v>0</v>
      </c>
      <c r="E64" s="102">
        <v>0</v>
      </c>
      <c r="F64" s="102">
        <v>0</v>
      </c>
      <c r="G64" s="19">
        <f t="shared" si="32"/>
        <v>0</v>
      </c>
      <c r="H64" s="20">
        <f t="shared" si="33"/>
        <v>0</v>
      </c>
    </row>
    <row r="65" spans="1:8" s="1" customFormat="1" ht="20.100000000000001" customHeight="1" x14ac:dyDescent="0.2">
      <c r="A65" s="374" t="s">
        <v>338</v>
      </c>
      <c r="B65" s="102">
        <v>93913</v>
      </c>
      <c r="C65" s="102">
        <v>0</v>
      </c>
      <c r="D65" s="103">
        <f t="shared" si="31"/>
        <v>93913</v>
      </c>
      <c r="E65" s="102">
        <v>0</v>
      </c>
      <c r="F65" s="102">
        <v>0</v>
      </c>
      <c r="G65" s="19">
        <f t="shared" si="32"/>
        <v>0</v>
      </c>
      <c r="H65" s="20">
        <f t="shared" si="33"/>
        <v>93913</v>
      </c>
    </row>
    <row r="66" spans="1:8" s="1" customFormat="1" ht="20.100000000000001" customHeight="1" x14ac:dyDescent="0.2">
      <c r="A66" s="374" t="s">
        <v>339</v>
      </c>
      <c r="B66" s="102">
        <v>10957</v>
      </c>
      <c r="C66" s="102">
        <v>0</v>
      </c>
      <c r="D66" s="103">
        <f t="shared" si="31"/>
        <v>10957</v>
      </c>
      <c r="E66" s="102">
        <v>2618</v>
      </c>
      <c r="F66" s="102">
        <v>0</v>
      </c>
      <c r="G66" s="19">
        <f t="shared" si="32"/>
        <v>2618</v>
      </c>
      <c r="H66" s="20">
        <f t="shared" si="33"/>
        <v>13575</v>
      </c>
    </row>
    <row r="67" spans="1:8" s="1" customFormat="1" ht="20.100000000000001" customHeight="1" x14ac:dyDescent="0.2">
      <c r="A67" s="374" t="s">
        <v>340</v>
      </c>
      <c r="B67" s="102">
        <v>0</v>
      </c>
      <c r="C67" s="102">
        <v>0</v>
      </c>
      <c r="D67" s="103">
        <f t="shared" si="31"/>
        <v>0</v>
      </c>
      <c r="E67" s="102">
        <v>0</v>
      </c>
      <c r="F67" s="102">
        <v>0</v>
      </c>
      <c r="G67" s="19">
        <f t="shared" si="32"/>
        <v>0</v>
      </c>
      <c r="H67" s="20">
        <f t="shared" si="33"/>
        <v>0</v>
      </c>
    </row>
    <row r="68" spans="1:8" s="1" customFormat="1" ht="20.100000000000001" customHeight="1" thickBot="1" x14ac:dyDescent="0.25">
      <c r="A68" s="16" t="s">
        <v>155</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25">
      <c r="A69" s="526"/>
      <c r="B69" s="527"/>
      <c r="C69" s="527"/>
      <c r="D69" s="527"/>
      <c r="E69" s="527"/>
      <c r="F69" s="527"/>
      <c r="G69" s="527"/>
      <c r="H69" s="527"/>
    </row>
    <row r="70" spans="1:8" s="1" customFormat="1" ht="20.100000000000001" customHeight="1" x14ac:dyDescent="0.2">
      <c r="A70" s="523" t="s">
        <v>343</v>
      </c>
      <c r="B70" s="524"/>
      <c r="C70" s="524"/>
      <c r="D70" s="524"/>
      <c r="E70" s="524"/>
      <c r="F70" s="524"/>
      <c r="G70" s="524"/>
      <c r="H70" s="525"/>
    </row>
    <row r="71" spans="1:8" s="1" customFormat="1" ht="20.100000000000001" customHeight="1" x14ac:dyDescent="0.2">
      <c r="A71" s="531" t="s">
        <v>321</v>
      </c>
      <c r="B71" s="530" t="s">
        <v>322</v>
      </c>
      <c r="C71" s="530"/>
      <c r="D71" s="530"/>
      <c r="E71" s="530" t="s">
        <v>323</v>
      </c>
      <c r="F71" s="530"/>
      <c r="G71" s="530"/>
      <c r="H71" s="522" t="s">
        <v>155</v>
      </c>
    </row>
    <row r="72" spans="1:8" s="1" customFormat="1" ht="20.100000000000001" customHeight="1" thickBot="1" x14ac:dyDescent="0.25">
      <c r="A72" s="532"/>
      <c r="B72" s="373" t="s">
        <v>324</v>
      </c>
      <c r="C72" s="373" t="s">
        <v>325</v>
      </c>
      <c r="D72" s="373" t="s">
        <v>155</v>
      </c>
      <c r="E72" s="373" t="s">
        <v>324</v>
      </c>
      <c r="F72" s="373" t="s">
        <v>325</v>
      </c>
      <c r="G72" s="373" t="s">
        <v>155</v>
      </c>
      <c r="H72" s="522"/>
    </row>
    <row r="73" spans="1:8" s="1" customFormat="1" ht="20.100000000000001" customHeight="1" x14ac:dyDescent="0.2">
      <c r="A73" s="21" t="s">
        <v>147</v>
      </c>
      <c r="B73" s="13">
        <v>370448</v>
      </c>
      <c r="C73" s="13">
        <v>82277</v>
      </c>
      <c r="D73" s="14">
        <f>B73+C73</f>
        <v>452725</v>
      </c>
      <c r="E73" s="13">
        <v>30117</v>
      </c>
      <c r="F73" s="13">
        <v>12406</v>
      </c>
      <c r="G73" s="18">
        <f>E73+F73</f>
        <v>42523</v>
      </c>
      <c r="H73" s="20">
        <f>SUM(D73,G73)</f>
        <v>495248</v>
      </c>
    </row>
    <row r="74" spans="1:8" s="1" customFormat="1" ht="20.100000000000001" customHeight="1" x14ac:dyDescent="0.2">
      <c r="A74" s="374" t="s">
        <v>326</v>
      </c>
      <c r="B74" s="13">
        <v>0</v>
      </c>
      <c r="C74" s="13">
        <v>0</v>
      </c>
      <c r="D74" s="14">
        <f>B74+C74</f>
        <v>0</v>
      </c>
      <c r="E74" s="13">
        <v>0</v>
      </c>
      <c r="F74" s="13">
        <v>0</v>
      </c>
      <c r="G74" s="18">
        <f>E74+F74</f>
        <v>0</v>
      </c>
      <c r="H74" s="20">
        <f>SUM(D74,G74)</f>
        <v>0</v>
      </c>
    </row>
    <row r="75" spans="1:8" s="1" customFormat="1" ht="20.100000000000001" customHeight="1" x14ac:dyDescent="0.2">
      <c r="A75" s="374" t="s">
        <v>327</v>
      </c>
      <c r="B75" s="102">
        <v>0</v>
      </c>
      <c r="C75" s="102">
        <v>0</v>
      </c>
      <c r="D75" s="103">
        <f t="shared" ref="D75:D88" si="40">B75+C75</f>
        <v>0</v>
      </c>
      <c r="E75" s="102">
        <v>995829</v>
      </c>
      <c r="F75" s="102">
        <v>0</v>
      </c>
      <c r="G75" s="19">
        <f t="shared" ref="G75:G88" si="41">E75+F75</f>
        <v>995829</v>
      </c>
      <c r="H75" s="20">
        <f t="shared" ref="H75:H88" si="42">SUM(D75,G75)</f>
        <v>995829</v>
      </c>
    </row>
    <row r="76" spans="1:8" s="1" customFormat="1" ht="20.100000000000001" customHeight="1" x14ac:dyDescent="0.2">
      <c r="A76" s="374" t="s">
        <v>328</v>
      </c>
      <c r="B76" s="102">
        <v>0</v>
      </c>
      <c r="C76" s="102">
        <v>0</v>
      </c>
      <c r="D76" s="103">
        <f t="shared" si="40"/>
        <v>0</v>
      </c>
      <c r="E76" s="102">
        <v>21416</v>
      </c>
      <c r="F76" s="102">
        <v>0</v>
      </c>
      <c r="G76" s="19">
        <f t="shared" si="41"/>
        <v>21416</v>
      </c>
      <c r="H76" s="20">
        <f t="shared" si="42"/>
        <v>21416</v>
      </c>
    </row>
    <row r="77" spans="1:8" s="1" customFormat="1" ht="20.100000000000001" customHeight="1" x14ac:dyDescent="0.2">
      <c r="A77" s="28" t="s">
        <v>329</v>
      </c>
      <c r="B77" s="102">
        <v>0</v>
      </c>
      <c r="C77" s="102">
        <v>0</v>
      </c>
      <c r="D77" s="103">
        <f t="shared" si="40"/>
        <v>0</v>
      </c>
      <c r="E77" s="102">
        <v>0</v>
      </c>
      <c r="F77" s="102">
        <v>0</v>
      </c>
      <c r="G77" s="19">
        <f t="shared" si="41"/>
        <v>0</v>
      </c>
      <c r="H77" s="20">
        <f t="shared" si="42"/>
        <v>0</v>
      </c>
    </row>
    <row r="78" spans="1:8" s="1" customFormat="1" ht="20.100000000000001" customHeight="1" x14ac:dyDescent="0.2">
      <c r="A78" s="374" t="s">
        <v>330</v>
      </c>
      <c r="B78" s="102">
        <v>0</v>
      </c>
      <c r="C78" s="102">
        <v>0</v>
      </c>
      <c r="D78" s="103">
        <f t="shared" si="40"/>
        <v>0</v>
      </c>
      <c r="E78" s="102">
        <v>0</v>
      </c>
      <c r="F78" s="102">
        <v>0</v>
      </c>
      <c r="G78" s="19">
        <f t="shared" si="41"/>
        <v>0</v>
      </c>
      <c r="H78" s="20">
        <f t="shared" si="42"/>
        <v>0</v>
      </c>
    </row>
    <row r="79" spans="1:8" s="1" customFormat="1" ht="20.100000000000001" customHeight="1" x14ac:dyDescent="0.2">
      <c r="A79" s="374" t="s">
        <v>331</v>
      </c>
      <c r="B79" s="102">
        <v>0</v>
      </c>
      <c r="C79" s="102">
        <v>0</v>
      </c>
      <c r="D79" s="103">
        <f t="shared" si="40"/>
        <v>0</v>
      </c>
      <c r="E79" s="102">
        <v>0</v>
      </c>
      <c r="F79" s="102">
        <v>0</v>
      </c>
      <c r="G79" s="19">
        <f t="shared" si="41"/>
        <v>0</v>
      </c>
      <c r="H79" s="20">
        <f t="shared" si="42"/>
        <v>0</v>
      </c>
    </row>
    <row r="80" spans="1:8" s="1" customFormat="1" ht="20.100000000000001" customHeight="1" x14ac:dyDescent="0.2">
      <c r="A80" s="374" t="s">
        <v>332</v>
      </c>
      <c r="B80" s="102">
        <v>0</v>
      </c>
      <c r="C80" s="102">
        <v>0</v>
      </c>
      <c r="D80" s="103">
        <f t="shared" si="40"/>
        <v>0</v>
      </c>
      <c r="E80" s="102">
        <v>0</v>
      </c>
      <c r="F80" s="102">
        <v>0</v>
      </c>
      <c r="G80" s="19">
        <f t="shared" si="41"/>
        <v>0</v>
      </c>
      <c r="H80" s="20">
        <f t="shared" si="42"/>
        <v>0</v>
      </c>
    </row>
    <row r="81" spans="1:8" s="1" customFormat="1" ht="20.100000000000001" customHeight="1" x14ac:dyDescent="0.2">
      <c r="A81" s="374" t="s">
        <v>333</v>
      </c>
      <c r="B81" s="102">
        <v>0</v>
      </c>
      <c r="C81" s="102">
        <v>0</v>
      </c>
      <c r="D81" s="103">
        <f t="shared" si="40"/>
        <v>0</v>
      </c>
      <c r="E81" s="102">
        <v>0</v>
      </c>
      <c r="F81" s="102">
        <v>0</v>
      </c>
      <c r="G81" s="19">
        <f t="shared" si="41"/>
        <v>0</v>
      </c>
      <c r="H81" s="20">
        <f t="shared" si="42"/>
        <v>0</v>
      </c>
    </row>
    <row r="82" spans="1:8" s="1" customFormat="1" ht="20.100000000000001" customHeight="1" x14ac:dyDescent="0.2">
      <c r="A82" s="374" t="s">
        <v>334</v>
      </c>
      <c r="B82" s="102">
        <v>0</v>
      </c>
      <c r="C82" s="102">
        <v>0</v>
      </c>
      <c r="D82" s="103">
        <f t="shared" si="40"/>
        <v>0</v>
      </c>
      <c r="E82" s="102">
        <v>0</v>
      </c>
      <c r="F82" s="102">
        <v>0</v>
      </c>
      <c r="G82" s="19">
        <f t="shared" si="41"/>
        <v>0</v>
      </c>
      <c r="H82" s="20">
        <f t="shared" si="42"/>
        <v>0</v>
      </c>
    </row>
    <row r="83" spans="1:8" s="1" customFormat="1" ht="20.100000000000001" customHeight="1" x14ac:dyDescent="0.2">
      <c r="A83" s="374" t="s">
        <v>335</v>
      </c>
      <c r="B83" s="102">
        <v>0</v>
      </c>
      <c r="C83" s="102">
        <v>0</v>
      </c>
      <c r="D83" s="103">
        <f t="shared" si="40"/>
        <v>0</v>
      </c>
      <c r="E83" s="102">
        <v>0</v>
      </c>
      <c r="F83" s="102">
        <v>0</v>
      </c>
      <c r="G83" s="19">
        <f t="shared" si="41"/>
        <v>0</v>
      </c>
      <c r="H83" s="20">
        <f t="shared" si="42"/>
        <v>0</v>
      </c>
    </row>
    <row r="84" spans="1:8" s="1" customFormat="1" ht="20.100000000000001" customHeight="1" x14ac:dyDescent="0.2">
      <c r="A84" s="374" t="s">
        <v>336</v>
      </c>
      <c r="B84" s="102">
        <v>46384</v>
      </c>
      <c r="C84" s="102">
        <v>0</v>
      </c>
      <c r="D84" s="103">
        <f t="shared" si="40"/>
        <v>46384</v>
      </c>
      <c r="E84" s="102">
        <v>0</v>
      </c>
      <c r="F84" s="102">
        <v>0</v>
      </c>
      <c r="G84" s="19">
        <f t="shared" si="41"/>
        <v>0</v>
      </c>
      <c r="H84" s="20">
        <f t="shared" si="42"/>
        <v>46384</v>
      </c>
    </row>
    <row r="85" spans="1:8" s="1" customFormat="1" ht="20.100000000000001" customHeight="1" x14ac:dyDescent="0.2">
      <c r="A85" s="374" t="s">
        <v>337</v>
      </c>
      <c r="B85" s="102">
        <v>0</v>
      </c>
      <c r="C85" s="102">
        <v>0</v>
      </c>
      <c r="D85" s="103">
        <f t="shared" si="40"/>
        <v>0</v>
      </c>
      <c r="E85" s="102">
        <v>0</v>
      </c>
      <c r="F85" s="102">
        <v>0</v>
      </c>
      <c r="G85" s="19">
        <f t="shared" si="41"/>
        <v>0</v>
      </c>
      <c r="H85" s="20">
        <f t="shared" si="42"/>
        <v>0</v>
      </c>
    </row>
    <row r="86" spans="1:8" s="1" customFormat="1" ht="20.100000000000001" customHeight="1" x14ac:dyDescent="0.2">
      <c r="A86" s="374" t="s">
        <v>338</v>
      </c>
      <c r="B86" s="102">
        <v>97670</v>
      </c>
      <c r="C86" s="102">
        <v>0</v>
      </c>
      <c r="D86" s="103">
        <f t="shared" si="40"/>
        <v>97670</v>
      </c>
      <c r="E86" s="102">
        <v>0</v>
      </c>
      <c r="F86" s="102">
        <v>0</v>
      </c>
      <c r="G86" s="19">
        <f t="shared" si="41"/>
        <v>0</v>
      </c>
      <c r="H86" s="20">
        <f t="shared" si="42"/>
        <v>97670</v>
      </c>
    </row>
    <row r="87" spans="1:8" s="1" customFormat="1" ht="20.100000000000001" customHeight="1" x14ac:dyDescent="0.2">
      <c r="A87" s="374" t="s">
        <v>339</v>
      </c>
      <c r="B87" s="102">
        <v>11396</v>
      </c>
      <c r="C87" s="102">
        <v>0</v>
      </c>
      <c r="D87" s="103">
        <f t="shared" si="40"/>
        <v>11396</v>
      </c>
      <c r="E87" s="102">
        <v>2722</v>
      </c>
      <c r="F87" s="102">
        <v>0</v>
      </c>
      <c r="G87" s="19">
        <f t="shared" si="41"/>
        <v>2722</v>
      </c>
      <c r="H87" s="20">
        <f t="shared" si="42"/>
        <v>14118</v>
      </c>
    </row>
    <row r="88" spans="1:8" s="1" customFormat="1" ht="20.100000000000001" customHeight="1" x14ac:dyDescent="0.2">
      <c r="A88" s="374" t="s">
        <v>340</v>
      </c>
      <c r="B88" s="102">
        <v>0</v>
      </c>
      <c r="C88" s="102">
        <v>0</v>
      </c>
      <c r="D88" s="103">
        <f t="shared" si="40"/>
        <v>0</v>
      </c>
      <c r="E88" s="102">
        <v>0</v>
      </c>
      <c r="F88" s="102">
        <v>0</v>
      </c>
      <c r="G88" s="19">
        <f t="shared" si="41"/>
        <v>0</v>
      </c>
      <c r="H88" s="20">
        <f t="shared" si="42"/>
        <v>0</v>
      </c>
    </row>
    <row r="89" spans="1:8" s="1" customFormat="1" ht="20.100000000000001" customHeight="1" thickBot="1" x14ac:dyDescent="0.25">
      <c r="A89" s="16" t="s">
        <v>155</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25">
      <c r="A90" s="526"/>
      <c r="B90" s="527"/>
      <c r="C90" s="527"/>
      <c r="D90" s="527"/>
      <c r="E90" s="527"/>
      <c r="F90" s="527"/>
      <c r="G90" s="527"/>
      <c r="H90" s="527"/>
    </row>
    <row r="91" spans="1:8" s="1" customFormat="1" ht="20.100000000000001" customHeight="1" x14ac:dyDescent="0.2">
      <c r="A91" s="523" t="s">
        <v>344</v>
      </c>
      <c r="B91" s="524"/>
      <c r="C91" s="524"/>
      <c r="D91" s="524"/>
      <c r="E91" s="524"/>
      <c r="F91" s="524"/>
      <c r="G91" s="524"/>
      <c r="H91" s="525"/>
    </row>
    <row r="92" spans="1:8" s="1" customFormat="1" ht="20.100000000000001" customHeight="1" x14ac:dyDescent="0.2">
      <c r="A92" s="528" t="s">
        <v>321</v>
      </c>
      <c r="B92" s="530" t="s">
        <v>322</v>
      </c>
      <c r="C92" s="530"/>
      <c r="D92" s="530"/>
      <c r="E92" s="530" t="s">
        <v>323</v>
      </c>
      <c r="F92" s="530"/>
      <c r="G92" s="530"/>
      <c r="H92" s="522" t="s">
        <v>155</v>
      </c>
    </row>
    <row r="93" spans="1:8" s="1" customFormat="1" ht="20.100000000000001" customHeight="1" x14ac:dyDescent="0.2">
      <c r="A93" s="529"/>
      <c r="B93" s="373" t="s">
        <v>324</v>
      </c>
      <c r="C93" s="373" t="s">
        <v>325</v>
      </c>
      <c r="D93" s="373" t="s">
        <v>155</v>
      </c>
      <c r="E93" s="373" t="s">
        <v>324</v>
      </c>
      <c r="F93" s="373" t="s">
        <v>325</v>
      </c>
      <c r="G93" s="373" t="s">
        <v>155</v>
      </c>
      <c r="H93" s="522"/>
    </row>
    <row r="94" spans="1:8" s="1" customFormat="1" ht="20.100000000000001" customHeight="1" x14ac:dyDescent="0.2">
      <c r="A94" s="21" t="s">
        <v>147</v>
      </c>
      <c r="B94" s="13">
        <v>385266</v>
      </c>
      <c r="C94" s="13">
        <v>85568</v>
      </c>
      <c r="D94" s="14">
        <f>B94+C94</f>
        <v>470834</v>
      </c>
      <c r="E94" s="13">
        <v>31322</v>
      </c>
      <c r="F94" s="13">
        <v>12902</v>
      </c>
      <c r="G94" s="18">
        <f>E94+F94</f>
        <v>44224</v>
      </c>
      <c r="H94" s="20">
        <f>SUM(D94,G94)</f>
        <v>515058</v>
      </c>
    </row>
    <row r="95" spans="1:8" s="1" customFormat="1" ht="20.100000000000001" customHeight="1" x14ac:dyDescent="0.2">
      <c r="A95" s="374" t="s">
        <v>326</v>
      </c>
      <c r="B95" s="13">
        <v>0</v>
      </c>
      <c r="C95" s="13">
        <v>0</v>
      </c>
      <c r="D95" s="14">
        <f>B95+C95</f>
        <v>0</v>
      </c>
      <c r="E95" s="13">
        <v>0</v>
      </c>
      <c r="F95" s="13">
        <v>0</v>
      </c>
      <c r="G95" s="18">
        <f>E95+F95</f>
        <v>0</v>
      </c>
      <c r="H95" s="20">
        <f>SUM(D95,G95)</f>
        <v>0</v>
      </c>
    </row>
    <row r="96" spans="1:8" s="1" customFormat="1" ht="20.100000000000001" customHeight="1" x14ac:dyDescent="0.2">
      <c r="A96" s="374" t="s">
        <v>327</v>
      </c>
      <c r="B96" s="102">
        <v>0</v>
      </c>
      <c r="C96" s="102">
        <v>0</v>
      </c>
      <c r="D96" s="103">
        <f t="shared" ref="D96:D109" si="49">B96+C96</f>
        <v>0</v>
      </c>
      <c r="E96" s="102">
        <v>1035662</v>
      </c>
      <c r="F96" s="102">
        <v>0</v>
      </c>
      <c r="G96" s="19">
        <f t="shared" ref="G96:G109" si="50">E96+F96</f>
        <v>1035662</v>
      </c>
      <c r="H96" s="20">
        <f t="shared" ref="H96:H109" si="51">SUM(D96,G96)</f>
        <v>1035662</v>
      </c>
    </row>
    <row r="97" spans="1:8" s="1" customFormat="1" ht="20.100000000000001" customHeight="1" x14ac:dyDescent="0.2">
      <c r="A97" s="374" t="s">
        <v>328</v>
      </c>
      <c r="B97" s="102">
        <v>0</v>
      </c>
      <c r="C97" s="102">
        <v>0</v>
      </c>
      <c r="D97" s="103">
        <f t="shared" si="49"/>
        <v>0</v>
      </c>
      <c r="E97" s="102">
        <v>22272</v>
      </c>
      <c r="F97" s="102">
        <v>0</v>
      </c>
      <c r="G97" s="19">
        <f t="shared" si="50"/>
        <v>22272</v>
      </c>
      <c r="H97" s="20">
        <f t="shared" si="51"/>
        <v>22272</v>
      </c>
    </row>
    <row r="98" spans="1:8" s="1" customFormat="1" ht="20.100000000000001" customHeight="1" x14ac:dyDescent="0.2">
      <c r="A98" s="28" t="s">
        <v>329</v>
      </c>
      <c r="B98" s="102">
        <v>0</v>
      </c>
      <c r="C98" s="102">
        <v>0</v>
      </c>
      <c r="D98" s="103">
        <f t="shared" si="49"/>
        <v>0</v>
      </c>
      <c r="E98" s="102">
        <v>0</v>
      </c>
      <c r="F98" s="102">
        <v>0</v>
      </c>
      <c r="G98" s="19">
        <f t="shared" si="50"/>
        <v>0</v>
      </c>
      <c r="H98" s="20">
        <f t="shared" si="51"/>
        <v>0</v>
      </c>
    </row>
    <row r="99" spans="1:8" s="1" customFormat="1" ht="20.100000000000001" customHeight="1" x14ac:dyDescent="0.2">
      <c r="A99" s="374" t="s">
        <v>330</v>
      </c>
      <c r="B99" s="102">
        <v>0</v>
      </c>
      <c r="C99" s="102">
        <v>0</v>
      </c>
      <c r="D99" s="103">
        <f t="shared" si="49"/>
        <v>0</v>
      </c>
      <c r="E99" s="102">
        <v>0</v>
      </c>
      <c r="F99" s="102">
        <v>0</v>
      </c>
      <c r="G99" s="19">
        <f t="shared" si="50"/>
        <v>0</v>
      </c>
      <c r="H99" s="20">
        <f t="shared" si="51"/>
        <v>0</v>
      </c>
    </row>
    <row r="100" spans="1:8" s="1" customFormat="1" ht="20.100000000000001" customHeight="1" x14ac:dyDescent="0.2">
      <c r="A100" s="374" t="s">
        <v>331</v>
      </c>
      <c r="B100" s="102">
        <v>0</v>
      </c>
      <c r="C100" s="102">
        <v>0</v>
      </c>
      <c r="D100" s="103">
        <f t="shared" si="49"/>
        <v>0</v>
      </c>
      <c r="E100" s="102">
        <v>0</v>
      </c>
      <c r="F100" s="102">
        <v>0</v>
      </c>
      <c r="G100" s="19">
        <f t="shared" si="50"/>
        <v>0</v>
      </c>
      <c r="H100" s="20">
        <f t="shared" si="51"/>
        <v>0</v>
      </c>
    </row>
    <row r="101" spans="1:8" s="1" customFormat="1" ht="20.100000000000001" customHeight="1" x14ac:dyDescent="0.2">
      <c r="A101" s="374" t="s">
        <v>332</v>
      </c>
      <c r="B101" s="102">
        <v>0</v>
      </c>
      <c r="C101" s="102">
        <v>0</v>
      </c>
      <c r="D101" s="103">
        <f t="shared" si="49"/>
        <v>0</v>
      </c>
      <c r="E101" s="102">
        <v>0</v>
      </c>
      <c r="F101" s="102">
        <v>0</v>
      </c>
      <c r="G101" s="19">
        <f t="shared" si="50"/>
        <v>0</v>
      </c>
      <c r="H101" s="20">
        <f t="shared" si="51"/>
        <v>0</v>
      </c>
    </row>
    <row r="102" spans="1:8" s="1" customFormat="1" ht="20.100000000000001" customHeight="1" x14ac:dyDescent="0.2">
      <c r="A102" s="374" t="s">
        <v>333</v>
      </c>
      <c r="B102" s="102">
        <v>0</v>
      </c>
      <c r="C102" s="102">
        <v>0</v>
      </c>
      <c r="D102" s="103">
        <f t="shared" si="49"/>
        <v>0</v>
      </c>
      <c r="E102" s="102">
        <v>0</v>
      </c>
      <c r="F102" s="102">
        <v>0</v>
      </c>
      <c r="G102" s="19">
        <f t="shared" si="50"/>
        <v>0</v>
      </c>
      <c r="H102" s="20">
        <f t="shared" si="51"/>
        <v>0</v>
      </c>
    </row>
    <row r="103" spans="1:8" s="1" customFormat="1" ht="20.100000000000001" customHeight="1" x14ac:dyDescent="0.2">
      <c r="A103" s="374" t="s">
        <v>334</v>
      </c>
      <c r="B103" s="102">
        <v>0</v>
      </c>
      <c r="C103" s="102">
        <v>0</v>
      </c>
      <c r="D103" s="103">
        <f t="shared" si="49"/>
        <v>0</v>
      </c>
      <c r="E103" s="102">
        <v>0</v>
      </c>
      <c r="F103" s="102">
        <v>0</v>
      </c>
      <c r="G103" s="19">
        <f t="shared" si="50"/>
        <v>0</v>
      </c>
      <c r="H103" s="20">
        <f t="shared" si="51"/>
        <v>0</v>
      </c>
    </row>
    <row r="104" spans="1:8" s="1" customFormat="1" ht="20.100000000000001" customHeight="1" x14ac:dyDescent="0.2">
      <c r="A104" s="374" t="s">
        <v>335</v>
      </c>
      <c r="B104" s="102">
        <v>0</v>
      </c>
      <c r="C104" s="102">
        <v>0</v>
      </c>
      <c r="D104" s="103">
        <f t="shared" si="49"/>
        <v>0</v>
      </c>
      <c r="E104" s="102">
        <v>0</v>
      </c>
      <c r="F104" s="102">
        <v>0</v>
      </c>
      <c r="G104" s="19">
        <f t="shared" si="50"/>
        <v>0</v>
      </c>
      <c r="H104" s="20">
        <f t="shared" si="51"/>
        <v>0</v>
      </c>
    </row>
    <row r="105" spans="1:8" s="1" customFormat="1" ht="20.100000000000001" customHeight="1" x14ac:dyDescent="0.2">
      <c r="A105" s="374" t="s">
        <v>336</v>
      </c>
      <c r="B105" s="102">
        <v>48240</v>
      </c>
      <c r="C105" s="102">
        <v>0</v>
      </c>
      <c r="D105" s="103">
        <f t="shared" si="49"/>
        <v>48240</v>
      </c>
      <c r="E105" s="102">
        <v>0</v>
      </c>
      <c r="F105" s="102">
        <v>0</v>
      </c>
      <c r="G105" s="19">
        <f t="shared" si="50"/>
        <v>0</v>
      </c>
      <c r="H105" s="20">
        <f t="shared" si="51"/>
        <v>48240</v>
      </c>
    </row>
    <row r="106" spans="1:8" s="1" customFormat="1" ht="20.100000000000001" customHeight="1" x14ac:dyDescent="0.2">
      <c r="A106" s="374" t="s">
        <v>337</v>
      </c>
      <c r="B106" s="102">
        <v>0</v>
      </c>
      <c r="C106" s="102">
        <v>0</v>
      </c>
      <c r="D106" s="103">
        <f t="shared" si="49"/>
        <v>0</v>
      </c>
      <c r="E106" s="102">
        <v>0</v>
      </c>
      <c r="F106" s="102">
        <v>0</v>
      </c>
      <c r="G106" s="19">
        <f t="shared" si="50"/>
        <v>0</v>
      </c>
      <c r="H106" s="20">
        <f t="shared" si="51"/>
        <v>0</v>
      </c>
    </row>
    <row r="107" spans="1:8" s="1" customFormat="1" ht="20.100000000000001" customHeight="1" x14ac:dyDescent="0.2">
      <c r="A107" s="374" t="s">
        <v>338</v>
      </c>
      <c r="B107" s="102">
        <v>101576</v>
      </c>
      <c r="C107" s="102">
        <v>0</v>
      </c>
      <c r="D107" s="103">
        <f t="shared" si="49"/>
        <v>101576</v>
      </c>
      <c r="E107" s="102">
        <v>0</v>
      </c>
      <c r="F107" s="102">
        <v>0</v>
      </c>
      <c r="G107" s="19">
        <f t="shared" si="50"/>
        <v>0</v>
      </c>
      <c r="H107" s="20">
        <f t="shared" si="51"/>
        <v>101576</v>
      </c>
    </row>
    <row r="108" spans="1:8" s="1" customFormat="1" ht="20.100000000000001" customHeight="1" x14ac:dyDescent="0.2">
      <c r="A108" s="374" t="s">
        <v>339</v>
      </c>
      <c r="B108" s="102">
        <v>11852</v>
      </c>
      <c r="C108" s="102">
        <v>0</v>
      </c>
      <c r="D108" s="103">
        <f t="shared" si="49"/>
        <v>11852</v>
      </c>
      <c r="E108" s="102">
        <v>2831</v>
      </c>
      <c r="F108" s="102">
        <v>0</v>
      </c>
      <c r="G108" s="19">
        <f t="shared" si="50"/>
        <v>2831</v>
      </c>
      <c r="H108" s="20">
        <f t="shared" si="51"/>
        <v>14683</v>
      </c>
    </row>
    <row r="109" spans="1:8" s="1" customFormat="1" ht="20.100000000000001" customHeight="1" x14ac:dyDescent="0.2">
      <c r="A109" s="374" t="s">
        <v>340</v>
      </c>
      <c r="B109" s="102">
        <v>0</v>
      </c>
      <c r="C109" s="102">
        <v>0</v>
      </c>
      <c r="D109" s="103">
        <f t="shared" si="49"/>
        <v>0</v>
      </c>
      <c r="E109" s="102">
        <v>0</v>
      </c>
      <c r="F109" s="102">
        <v>0</v>
      </c>
      <c r="G109" s="19">
        <f t="shared" si="50"/>
        <v>0</v>
      </c>
      <c r="H109" s="20">
        <f t="shared" si="51"/>
        <v>0</v>
      </c>
    </row>
    <row r="110" spans="1:8" s="1" customFormat="1" ht="20.100000000000001" customHeight="1" thickBot="1" x14ac:dyDescent="0.25">
      <c r="A110" s="16" t="s">
        <v>155</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
    <row r="112" spans="1:8" ht="20.100000000000001" customHeight="1" thickBot="1" x14ac:dyDescent="0.25"/>
    <row r="113" spans="1:14" s="1" customFormat="1" ht="20.100000000000001" customHeight="1" thickBot="1" x14ac:dyDescent="0.25">
      <c r="A113" s="579" t="s">
        <v>321</v>
      </c>
      <c r="B113" s="580"/>
      <c r="C113" s="580"/>
      <c r="D113" s="581"/>
      <c r="E113" s="22" t="s">
        <v>345</v>
      </c>
      <c r="F113" s="585" t="s">
        <v>346</v>
      </c>
      <c r="G113" s="586"/>
      <c r="H113" s="587"/>
    </row>
    <row r="114" spans="1:14" s="1" customFormat="1" ht="20.100000000000001" customHeight="1" x14ac:dyDescent="0.2">
      <c r="A114" s="582" t="s">
        <v>147</v>
      </c>
      <c r="B114" s="583"/>
      <c r="C114" s="583"/>
      <c r="D114" s="584"/>
      <c r="E114" s="26" t="s">
        <v>347</v>
      </c>
      <c r="F114" s="572" t="s">
        <v>348</v>
      </c>
      <c r="G114" s="573"/>
      <c r="H114" s="574"/>
    </row>
    <row r="115" spans="1:14" s="1" customFormat="1" ht="20.100000000000001" customHeight="1" x14ac:dyDescent="0.2">
      <c r="A115" s="576" t="s">
        <v>326</v>
      </c>
      <c r="B115" s="577"/>
      <c r="C115" s="577"/>
      <c r="D115" s="578"/>
      <c r="E115" s="26" t="s">
        <v>349</v>
      </c>
      <c r="F115" s="536" t="s">
        <v>350</v>
      </c>
      <c r="G115" s="537"/>
      <c r="H115" s="538"/>
      <c r="K115" s="575"/>
      <c r="L115" s="575"/>
      <c r="M115" s="575"/>
      <c r="N115" s="575"/>
    </row>
    <row r="116" spans="1:14" s="1" customFormat="1" ht="20.100000000000001" customHeight="1" x14ac:dyDescent="0.2">
      <c r="A116" s="554" t="s">
        <v>327</v>
      </c>
      <c r="B116" s="555"/>
      <c r="C116" s="555"/>
      <c r="D116" s="556"/>
      <c r="E116" s="26" t="s">
        <v>351</v>
      </c>
      <c r="F116" s="533" t="s">
        <v>352</v>
      </c>
      <c r="G116" s="534"/>
      <c r="H116" s="535"/>
      <c r="K116" s="375"/>
      <c r="L116" s="375"/>
      <c r="M116" s="375"/>
      <c r="N116" s="375"/>
    </row>
    <row r="117" spans="1:14" s="1" customFormat="1" ht="20.100000000000001" customHeight="1" x14ac:dyDescent="0.2">
      <c r="A117" s="554" t="s">
        <v>328</v>
      </c>
      <c r="B117" s="555"/>
      <c r="C117" s="555"/>
      <c r="D117" s="556"/>
      <c r="E117" s="26" t="s">
        <v>353</v>
      </c>
      <c r="F117" s="533" t="s">
        <v>354</v>
      </c>
      <c r="G117" s="534"/>
      <c r="H117" s="535"/>
      <c r="K117" s="375"/>
      <c r="L117" s="375"/>
      <c r="M117" s="375"/>
      <c r="N117" s="375"/>
    </row>
    <row r="118" spans="1:14" s="1" customFormat="1" ht="20.100000000000001" customHeight="1" x14ac:dyDescent="0.2">
      <c r="A118" s="566" t="s">
        <v>329</v>
      </c>
      <c r="B118" s="567"/>
      <c r="C118" s="567"/>
      <c r="D118" s="568"/>
      <c r="E118" s="26" t="s">
        <v>355</v>
      </c>
      <c r="F118" s="569" t="s">
        <v>356</v>
      </c>
      <c r="G118" s="570"/>
      <c r="H118" s="571"/>
      <c r="K118" s="375"/>
      <c r="L118" s="375"/>
      <c r="M118" s="375"/>
      <c r="N118" s="375"/>
    </row>
    <row r="119" spans="1:14" s="1" customFormat="1" ht="20.100000000000001" customHeight="1" x14ac:dyDescent="0.2">
      <c r="A119" s="554" t="s">
        <v>330</v>
      </c>
      <c r="B119" s="555"/>
      <c r="C119" s="555"/>
      <c r="D119" s="556"/>
      <c r="E119" s="26" t="s">
        <v>357</v>
      </c>
      <c r="F119" s="533" t="s">
        <v>358</v>
      </c>
      <c r="G119" s="534"/>
      <c r="H119" s="535"/>
      <c r="K119" s="375"/>
      <c r="L119" s="375"/>
      <c r="M119" s="375"/>
      <c r="N119" s="375"/>
    </row>
    <row r="120" spans="1:14" s="1" customFormat="1" ht="20.100000000000001" customHeight="1" x14ac:dyDescent="0.2">
      <c r="A120" s="554" t="s">
        <v>331</v>
      </c>
      <c r="B120" s="555"/>
      <c r="C120" s="555"/>
      <c r="D120" s="556"/>
      <c r="E120" s="26" t="s">
        <v>359</v>
      </c>
      <c r="F120" s="533" t="s">
        <v>360</v>
      </c>
      <c r="G120" s="534"/>
      <c r="H120" s="535"/>
      <c r="K120" s="375"/>
      <c r="L120" s="375"/>
      <c r="M120" s="375"/>
      <c r="N120" s="375"/>
    </row>
    <row r="121" spans="1:14" s="1" customFormat="1" ht="20.100000000000001" customHeight="1" x14ac:dyDescent="0.2">
      <c r="A121" s="554" t="s">
        <v>332</v>
      </c>
      <c r="B121" s="555"/>
      <c r="C121" s="555"/>
      <c r="D121" s="556"/>
      <c r="E121" s="26" t="s">
        <v>361</v>
      </c>
      <c r="F121" s="533" t="s">
        <v>362</v>
      </c>
      <c r="G121" s="534"/>
      <c r="H121" s="535"/>
      <c r="K121" s="375"/>
      <c r="L121" s="375"/>
      <c r="M121" s="375"/>
      <c r="N121" s="375"/>
    </row>
    <row r="122" spans="1:14" s="1" customFormat="1" ht="20.100000000000001" customHeight="1" x14ac:dyDescent="0.2">
      <c r="A122" s="554" t="s">
        <v>333</v>
      </c>
      <c r="B122" s="555"/>
      <c r="C122" s="555"/>
      <c r="D122" s="556"/>
      <c r="E122" s="26" t="s">
        <v>363</v>
      </c>
      <c r="F122" s="533" t="s">
        <v>364</v>
      </c>
      <c r="G122" s="534"/>
      <c r="H122" s="535"/>
      <c r="K122" s="375"/>
      <c r="L122" s="375"/>
      <c r="M122" s="375"/>
      <c r="N122" s="375"/>
    </row>
    <row r="123" spans="1:14" s="1" customFormat="1" ht="20.100000000000001" customHeight="1" x14ac:dyDescent="0.2">
      <c r="A123" s="554" t="s">
        <v>365</v>
      </c>
      <c r="B123" s="555"/>
      <c r="C123" s="555"/>
      <c r="D123" s="556"/>
      <c r="E123" s="27"/>
      <c r="F123" s="539"/>
      <c r="G123" s="540"/>
      <c r="H123" s="541"/>
      <c r="K123" s="375"/>
      <c r="L123" s="375"/>
      <c r="M123" s="375"/>
      <c r="N123" s="375"/>
    </row>
    <row r="124" spans="1:14" s="1" customFormat="1" ht="20.100000000000001" customHeight="1" x14ac:dyDescent="0.2">
      <c r="A124" s="560" t="s">
        <v>366</v>
      </c>
      <c r="B124" s="561"/>
      <c r="C124" s="561"/>
      <c r="D124" s="562"/>
      <c r="E124" s="26" t="s">
        <v>367</v>
      </c>
      <c r="F124" s="533" t="s">
        <v>368</v>
      </c>
      <c r="G124" s="534"/>
      <c r="H124" s="535"/>
      <c r="K124" s="23"/>
      <c r="L124" s="23"/>
      <c r="M124" s="23"/>
      <c r="N124" s="23"/>
    </row>
    <row r="125" spans="1:14" s="1" customFormat="1" ht="20.100000000000001" customHeight="1" x14ac:dyDescent="0.2">
      <c r="A125" s="560" t="s">
        <v>369</v>
      </c>
      <c r="B125" s="561"/>
      <c r="C125" s="561"/>
      <c r="D125" s="562"/>
      <c r="E125" s="26" t="s">
        <v>370</v>
      </c>
      <c r="F125" s="533" t="s">
        <v>371</v>
      </c>
      <c r="G125" s="534"/>
      <c r="H125" s="535"/>
      <c r="K125" s="23"/>
      <c r="L125" s="23"/>
      <c r="M125" s="23"/>
      <c r="N125" s="23"/>
    </row>
    <row r="126" spans="1:14" s="1" customFormat="1" ht="20.100000000000001" customHeight="1" x14ac:dyDescent="0.2">
      <c r="A126" s="560" t="s">
        <v>372</v>
      </c>
      <c r="B126" s="561"/>
      <c r="C126" s="561"/>
      <c r="D126" s="562"/>
      <c r="E126" s="26" t="s">
        <v>373</v>
      </c>
      <c r="F126" s="533" t="s">
        <v>374</v>
      </c>
      <c r="G126" s="534"/>
      <c r="H126" s="535"/>
      <c r="K126" s="23"/>
      <c r="L126" s="23"/>
      <c r="M126" s="23"/>
      <c r="N126" s="23"/>
    </row>
    <row r="127" spans="1:14" s="1" customFormat="1" ht="20.100000000000001" customHeight="1" x14ac:dyDescent="0.2">
      <c r="A127" s="554" t="s">
        <v>335</v>
      </c>
      <c r="B127" s="555"/>
      <c r="C127" s="555"/>
      <c r="D127" s="556"/>
      <c r="E127" s="27"/>
      <c r="F127" s="542"/>
      <c r="G127" s="543"/>
      <c r="H127" s="544"/>
      <c r="K127" s="375"/>
      <c r="L127" s="375"/>
      <c r="M127" s="375"/>
      <c r="N127" s="375"/>
    </row>
    <row r="128" spans="1:14" s="1" customFormat="1" ht="20.100000000000001" customHeight="1" x14ac:dyDescent="0.2">
      <c r="A128" s="560" t="s">
        <v>375</v>
      </c>
      <c r="B128" s="561"/>
      <c r="C128" s="561"/>
      <c r="D128" s="562"/>
      <c r="E128" s="26" t="s">
        <v>376</v>
      </c>
      <c r="F128" s="533" t="s">
        <v>377</v>
      </c>
      <c r="G128" s="534"/>
      <c r="H128" s="535"/>
      <c r="K128" s="23"/>
      <c r="L128" s="23"/>
      <c r="M128" s="23"/>
      <c r="N128" s="23"/>
    </row>
    <row r="129" spans="1:14" s="1" customFormat="1" ht="20.100000000000001" customHeight="1" x14ac:dyDescent="0.2">
      <c r="A129" s="560" t="s">
        <v>378</v>
      </c>
      <c r="B129" s="561"/>
      <c r="C129" s="561"/>
      <c r="D129" s="562"/>
      <c r="E129" s="26" t="s">
        <v>379</v>
      </c>
      <c r="F129" s="533" t="s">
        <v>380</v>
      </c>
      <c r="G129" s="534"/>
      <c r="H129" s="535"/>
      <c r="K129" s="23"/>
      <c r="L129" s="23"/>
      <c r="M129" s="23"/>
      <c r="N129" s="23"/>
    </row>
    <row r="130" spans="1:14" s="1" customFormat="1" ht="20.100000000000001" customHeight="1" x14ac:dyDescent="0.2">
      <c r="A130" s="560" t="s">
        <v>381</v>
      </c>
      <c r="B130" s="561"/>
      <c r="C130" s="561"/>
      <c r="D130" s="562"/>
      <c r="E130" s="26" t="s">
        <v>382</v>
      </c>
      <c r="F130" s="533" t="s">
        <v>383</v>
      </c>
      <c r="G130" s="534"/>
      <c r="H130" s="535"/>
      <c r="K130" s="23"/>
      <c r="L130" s="23"/>
      <c r="M130" s="23"/>
      <c r="N130" s="23"/>
    </row>
    <row r="131" spans="1:14" s="1" customFormat="1" ht="20.100000000000001" customHeight="1" x14ac:dyDescent="0.2">
      <c r="A131" s="557" t="s">
        <v>384</v>
      </c>
      <c r="B131" s="558"/>
      <c r="C131" s="558"/>
      <c r="D131" s="559"/>
      <c r="E131" s="26" t="s">
        <v>385</v>
      </c>
      <c r="F131" s="548" t="s">
        <v>386</v>
      </c>
      <c r="G131" s="549"/>
      <c r="H131" s="550"/>
      <c r="K131" s="24"/>
      <c r="L131" s="24"/>
      <c r="M131" s="24"/>
      <c r="N131" s="24"/>
    </row>
    <row r="132" spans="1:14" s="1" customFormat="1" ht="20.100000000000001" customHeight="1" x14ac:dyDescent="0.2">
      <c r="A132" s="554" t="s">
        <v>336</v>
      </c>
      <c r="B132" s="555"/>
      <c r="C132" s="555"/>
      <c r="D132" s="556"/>
      <c r="E132" s="26" t="s">
        <v>347</v>
      </c>
      <c r="F132" s="533" t="s">
        <v>387</v>
      </c>
      <c r="G132" s="534"/>
      <c r="H132" s="535"/>
      <c r="K132" s="375"/>
      <c r="L132" s="375"/>
      <c r="M132" s="375"/>
      <c r="N132" s="375"/>
    </row>
    <row r="133" spans="1:14" s="1" customFormat="1" ht="20.100000000000001" customHeight="1" x14ac:dyDescent="0.2">
      <c r="A133" s="554" t="s">
        <v>337</v>
      </c>
      <c r="B133" s="555"/>
      <c r="C133" s="555"/>
      <c r="D133" s="556"/>
      <c r="E133" s="26" t="s">
        <v>347</v>
      </c>
      <c r="F133" s="533" t="s">
        <v>388</v>
      </c>
      <c r="G133" s="534"/>
      <c r="H133" s="535"/>
      <c r="K133" s="375"/>
      <c r="L133" s="375"/>
      <c r="M133" s="375"/>
      <c r="N133" s="375"/>
    </row>
    <row r="134" spans="1:14" s="1" customFormat="1" ht="20.100000000000001" customHeight="1" x14ac:dyDescent="0.2">
      <c r="A134" s="554" t="s">
        <v>338</v>
      </c>
      <c r="B134" s="555"/>
      <c r="C134" s="555"/>
      <c r="D134" s="556"/>
      <c r="E134" s="26" t="s">
        <v>389</v>
      </c>
      <c r="F134" s="533" t="s">
        <v>390</v>
      </c>
      <c r="G134" s="534"/>
      <c r="H134" s="535"/>
      <c r="K134" s="375"/>
      <c r="L134" s="375"/>
      <c r="M134" s="375"/>
      <c r="N134" s="375"/>
    </row>
    <row r="135" spans="1:14" s="1" customFormat="1" ht="20.100000000000001" customHeight="1" thickBot="1" x14ac:dyDescent="0.25">
      <c r="A135" s="551" t="s">
        <v>340</v>
      </c>
      <c r="B135" s="552"/>
      <c r="C135" s="552"/>
      <c r="D135" s="553"/>
      <c r="E135" s="25" t="s">
        <v>347</v>
      </c>
      <c r="F135" s="545" t="s">
        <v>391</v>
      </c>
      <c r="G135" s="546"/>
      <c r="H135" s="547"/>
      <c r="K135" s="375"/>
      <c r="L135" s="375"/>
      <c r="M135" s="375"/>
      <c r="N135" s="37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8"/>
  </cols>
  <sheetData>
    <row r="1" spans="1:2" x14ac:dyDescent="0.2">
      <c r="A1" s="8" t="s">
        <v>392</v>
      </c>
      <c r="B1" s="8" t="s">
        <v>393</v>
      </c>
    </row>
    <row r="2" spans="1:2" x14ac:dyDescent="0.2">
      <c r="A2" s="8">
        <v>1</v>
      </c>
      <c r="B2" s="8" t="s">
        <v>394</v>
      </c>
    </row>
    <row r="3" spans="1:2" x14ac:dyDescent="0.2">
      <c r="A3" s="8">
        <v>2</v>
      </c>
      <c r="B3" s="8" t="s">
        <v>395</v>
      </c>
    </row>
    <row r="4" spans="1:2" x14ac:dyDescent="0.2">
      <c r="A4" s="8">
        <v>3</v>
      </c>
    </row>
    <row r="5" spans="1:2" x14ac:dyDescent="0.2">
      <c r="A5" s="8">
        <v>4</v>
      </c>
    </row>
    <row r="6" spans="1:2" x14ac:dyDescent="0.2">
      <c r="A6" s="8">
        <v>5</v>
      </c>
    </row>
    <row r="7" spans="1:2" x14ac:dyDescent="0.2">
      <c r="A7" s="8">
        <v>6</v>
      </c>
    </row>
    <row r="8" spans="1:2" x14ac:dyDescent="0.2">
      <c r="A8" s="8">
        <v>7</v>
      </c>
    </row>
    <row r="9" spans="1:2" x14ac:dyDescent="0.2">
      <c r="A9" s="8">
        <v>8</v>
      </c>
    </row>
    <row r="10" spans="1:2" x14ac:dyDescent="0.2">
      <c r="A10" s="8">
        <v>9</v>
      </c>
    </row>
    <row r="11" spans="1:2" x14ac:dyDescent="0.2">
      <c r="A11" s="8">
        <v>10</v>
      </c>
    </row>
    <row r="12" spans="1:2" x14ac:dyDescent="0.2">
      <c r="A12" s="8">
        <v>11</v>
      </c>
    </row>
    <row r="13" spans="1:2" x14ac:dyDescent="0.2">
      <c r="A13" s="8">
        <v>12</v>
      </c>
    </row>
    <row r="14" spans="1:2" x14ac:dyDescent="0.2">
      <c r="A14" s="8">
        <v>13</v>
      </c>
    </row>
    <row r="15" spans="1:2" x14ac:dyDescent="0.2">
      <c r="A15" s="8">
        <v>14</v>
      </c>
    </row>
    <row r="16" spans="1:2" x14ac:dyDescent="0.2">
      <c r="A16" s="8">
        <v>15</v>
      </c>
    </row>
    <row r="17" spans="1:1" x14ac:dyDescent="0.2">
      <c r="A17" s="8">
        <v>16</v>
      </c>
    </row>
    <row r="18" spans="1:1" x14ac:dyDescent="0.2">
      <c r="A18" s="8">
        <v>17</v>
      </c>
    </row>
    <row r="19" spans="1:1" x14ac:dyDescent="0.2">
      <c r="A19" s="8">
        <v>18</v>
      </c>
    </row>
    <row r="20" spans="1:1" x14ac:dyDescent="0.2">
      <c r="A20" s="8">
        <v>19</v>
      </c>
    </row>
    <row r="21" spans="1:1" x14ac:dyDescent="0.2">
      <c r="A21" s="8">
        <v>20</v>
      </c>
    </row>
    <row r="22" spans="1:1" x14ac:dyDescent="0.2">
      <c r="A22" s="8">
        <v>21</v>
      </c>
    </row>
    <row r="23" spans="1:1" x14ac:dyDescent="0.2">
      <c r="A23" s="8">
        <v>22</v>
      </c>
    </row>
    <row r="24" spans="1:1" x14ac:dyDescent="0.2">
      <c r="A24" s="8">
        <v>23</v>
      </c>
    </row>
    <row r="25" spans="1:1" x14ac:dyDescent="0.2">
      <c r="A25" s="8">
        <v>24</v>
      </c>
    </row>
    <row r="26" spans="1:1" x14ac:dyDescent="0.2">
      <c r="A26" s="8">
        <v>25</v>
      </c>
    </row>
    <row r="27" spans="1:1" x14ac:dyDescent="0.2">
      <c r="A27" s="8">
        <v>26</v>
      </c>
    </row>
    <row r="28" spans="1:1" x14ac:dyDescent="0.2">
      <c r="A28" s="8">
        <v>27</v>
      </c>
    </row>
    <row r="29" spans="1:1" x14ac:dyDescent="0.2">
      <c r="A29" s="8">
        <v>28</v>
      </c>
    </row>
    <row r="30" spans="1:1" x14ac:dyDescent="0.2">
      <c r="A30" s="8">
        <v>29</v>
      </c>
    </row>
    <row r="31" spans="1:1" x14ac:dyDescent="0.2">
      <c r="A31" s="8">
        <v>30</v>
      </c>
    </row>
    <row r="32" spans="1:1" x14ac:dyDescent="0.2">
      <c r="A32" s="8">
        <v>31</v>
      </c>
    </row>
    <row r="33" spans="1:1" x14ac:dyDescent="0.2">
      <c r="A33" s="8">
        <v>32</v>
      </c>
    </row>
    <row r="34" spans="1:1" x14ac:dyDescent="0.2">
      <c r="A34" s="8">
        <v>33</v>
      </c>
    </row>
    <row r="35" spans="1:1" x14ac:dyDescent="0.2">
      <c r="A35" s="8">
        <v>34</v>
      </c>
    </row>
    <row r="36" spans="1:1" x14ac:dyDescent="0.2">
      <c r="A36" s="8">
        <v>35</v>
      </c>
    </row>
    <row r="37" spans="1:1" x14ac:dyDescent="0.2">
      <c r="A37" s="8">
        <v>36</v>
      </c>
    </row>
    <row r="38" spans="1:1" x14ac:dyDescent="0.2">
      <c r="A38" s="8">
        <v>37</v>
      </c>
    </row>
    <row r="39" spans="1:1" x14ac:dyDescent="0.2">
      <c r="A39" s="8">
        <v>38</v>
      </c>
    </row>
    <row r="40" spans="1:1" x14ac:dyDescent="0.2">
      <c r="A40" s="8">
        <v>39</v>
      </c>
    </row>
    <row r="41" spans="1:1" x14ac:dyDescent="0.2">
      <c r="A41" s="8">
        <v>40</v>
      </c>
    </row>
    <row r="42" spans="1:1" x14ac:dyDescent="0.2">
      <c r="A42" s="8">
        <v>41</v>
      </c>
    </row>
    <row r="43" spans="1:1" x14ac:dyDescent="0.2">
      <c r="A43" s="8">
        <v>42</v>
      </c>
    </row>
    <row r="44" spans="1:1" x14ac:dyDescent="0.2">
      <c r="A44" s="8">
        <v>43</v>
      </c>
    </row>
    <row r="45" spans="1:1" x14ac:dyDescent="0.2">
      <c r="A45" s="8">
        <v>44</v>
      </c>
    </row>
    <row r="46" spans="1:1" x14ac:dyDescent="0.2">
      <c r="A46" s="8">
        <v>45</v>
      </c>
    </row>
    <row r="47" spans="1:1" x14ac:dyDescent="0.2">
      <c r="A47" s="8">
        <v>46</v>
      </c>
    </row>
    <row r="48" spans="1:1" x14ac:dyDescent="0.2">
      <c r="A48" s="8">
        <v>47</v>
      </c>
    </row>
    <row r="49" spans="1:1" x14ac:dyDescent="0.2">
      <c r="A49" s="8">
        <v>48</v>
      </c>
    </row>
    <row r="50" spans="1:1" x14ac:dyDescent="0.2">
      <c r="A50" s="8">
        <v>49</v>
      </c>
    </row>
    <row r="51" spans="1:1" x14ac:dyDescent="0.2">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8"/>
  <sheetViews>
    <sheetView zoomScaleNormal="100" workbookViewId="0">
      <selection activeCell="E4" sqref="E4:H4"/>
    </sheetView>
  </sheetViews>
  <sheetFormatPr defaultColWidth="8.5703125" defaultRowHeight="12.75" x14ac:dyDescent="0.2"/>
  <cols>
    <col min="5" max="5" width="17.42578125" customWidth="1"/>
  </cols>
  <sheetData>
    <row r="1" spans="1:21" s="2" customFormat="1" ht="30" customHeight="1" x14ac:dyDescent="0.2">
      <c r="A1" s="415" t="s">
        <v>61</v>
      </c>
      <c r="B1" s="415"/>
      <c r="C1" s="415"/>
      <c r="D1" s="415"/>
      <c r="E1" s="415"/>
      <c r="F1" s="415"/>
      <c r="G1" s="415"/>
      <c r="H1" s="415"/>
      <c r="I1" s="415"/>
      <c r="J1" s="415"/>
      <c r="K1" s="415"/>
      <c r="L1" s="415"/>
      <c r="M1" s="415"/>
      <c r="N1" s="415"/>
      <c r="O1" s="415"/>
      <c r="P1" s="415"/>
      <c r="Q1" s="415"/>
    </row>
    <row r="2" spans="1:21" s="2" customFormat="1" ht="30" customHeight="1" thickBot="1" x14ac:dyDescent="0.25">
      <c r="A2" s="417" t="s">
        <v>62</v>
      </c>
      <c r="B2" s="417"/>
      <c r="C2" s="417"/>
      <c r="D2" s="417"/>
      <c r="E2" s="417"/>
      <c r="F2" s="367"/>
      <c r="G2" s="367"/>
      <c r="H2" s="367"/>
      <c r="I2" s="367"/>
      <c r="J2" s="367"/>
      <c r="K2" s="367"/>
      <c r="L2" s="367"/>
      <c r="M2" s="367"/>
      <c r="N2" s="367"/>
      <c r="O2" s="367"/>
      <c r="P2" s="367"/>
    </row>
    <row r="3" spans="1:21" s="2" customFormat="1" ht="30" customHeight="1" thickBot="1" x14ac:dyDescent="0.25">
      <c r="A3" s="416" t="s">
        <v>63</v>
      </c>
      <c r="B3" s="416"/>
      <c r="C3" s="426" t="s">
        <v>64</v>
      </c>
      <c r="D3" s="427"/>
      <c r="E3" s="427"/>
      <c r="F3" s="427"/>
      <c r="G3" s="427"/>
      <c r="H3" s="427"/>
      <c r="I3" s="427"/>
      <c r="J3" s="427"/>
      <c r="K3" s="427"/>
      <c r="L3" s="427"/>
      <c r="M3" s="427"/>
      <c r="N3" s="427"/>
      <c r="O3" s="427"/>
      <c r="P3" s="427"/>
      <c r="Q3" s="427"/>
      <c r="R3" s="427"/>
      <c r="S3" s="428"/>
    </row>
    <row r="4" spans="1:21" s="5" customFormat="1" ht="30" customHeight="1" thickBot="1" x14ac:dyDescent="0.25">
      <c r="A4" s="416" t="s">
        <v>65</v>
      </c>
      <c r="B4" s="416"/>
      <c r="C4" s="416"/>
      <c r="D4" s="421"/>
      <c r="E4" s="422" t="s">
        <v>66</v>
      </c>
      <c r="F4" s="423"/>
      <c r="G4" s="423"/>
      <c r="H4" s="424"/>
      <c r="I4" s="4"/>
      <c r="J4" s="4"/>
      <c r="K4" s="4"/>
      <c r="L4" s="4"/>
      <c r="M4" s="4"/>
      <c r="N4" s="4"/>
      <c r="O4" s="4"/>
      <c r="P4" s="4"/>
      <c r="Q4" s="4"/>
      <c r="R4" s="4"/>
      <c r="S4" s="4"/>
    </row>
    <row r="5" spans="1:21" s="5" customFormat="1" ht="30" customHeight="1" thickBot="1" x14ac:dyDescent="0.25">
      <c r="A5" s="416" t="s">
        <v>67</v>
      </c>
      <c r="B5" s="416"/>
      <c r="C5" s="416"/>
      <c r="D5" s="416"/>
      <c r="E5" s="416"/>
      <c r="F5" s="416"/>
      <c r="G5" s="416"/>
      <c r="H5" s="4"/>
      <c r="I5" s="4"/>
      <c r="J5" s="4"/>
      <c r="K5" s="4"/>
      <c r="L5" s="4"/>
      <c r="M5" s="4"/>
      <c r="N5" s="4"/>
      <c r="O5" s="4"/>
      <c r="P5" s="4"/>
      <c r="Q5" s="4"/>
      <c r="R5" s="4"/>
      <c r="S5" s="4"/>
    </row>
    <row r="6" spans="1:21" s="5" customFormat="1" ht="30" customHeight="1" thickBot="1" x14ac:dyDescent="0.25">
      <c r="A6" s="418" t="s">
        <v>68</v>
      </c>
      <c r="B6" s="418"/>
      <c r="C6" s="418"/>
      <c r="D6" s="418"/>
      <c r="E6" s="418"/>
      <c r="F6" s="418"/>
      <c r="G6" s="418"/>
      <c r="H6" s="420" t="s">
        <v>69</v>
      </c>
      <c r="I6" s="429"/>
      <c r="J6" s="429"/>
      <c r="K6" s="429"/>
      <c r="L6" s="429"/>
      <c r="M6" s="429"/>
      <c r="N6" s="429"/>
      <c r="O6" s="429"/>
      <c r="P6" s="429"/>
      <c r="Q6" s="429"/>
      <c r="R6" s="429"/>
      <c r="S6" s="429"/>
      <c r="T6" s="429"/>
      <c r="U6" s="430"/>
    </row>
    <row r="7" spans="1:21" s="5" customFormat="1" ht="30" customHeight="1" thickBot="1" x14ac:dyDescent="0.25">
      <c r="A7" s="418" t="s">
        <v>70</v>
      </c>
      <c r="B7" s="418"/>
      <c r="C7" s="418"/>
      <c r="D7" s="418"/>
      <c r="E7" s="418"/>
      <c r="F7" s="418"/>
      <c r="G7" s="418"/>
      <c r="H7" s="425" t="s">
        <v>71</v>
      </c>
      <c r="I7" s="419"/>
      <c r="J7" s="419"/>
      <c r="K7" s="419"/>
      <c r="L7" s="419"/>
      <c r="M7" s="419"/>
      <c r="N7" s="419"/>
      <c r="O7" s="419"/>
      <c r="P7" s="419"/>
      <c r="Q7" s="420"/>
      <c r="R7" s="409"/>
      <c r="S7" s="409"/>
      <c r="T7" s="410"/>
      <c r="U7" s="411"/>
    </row>
    <row r="8" spans="1:21" s="5" customFormat="1" ht="30" customHeight="1" thickBot="1" x14ac:dyDescent="0.25">
      <c r="A8" s="418" t="s">
        <v>72</v>
      </c>
      <c r="B8" s="418"/>
      <c r="C8" s="418"/>
      <c r="D8" s="418"/>
      <c r="E8" s="418"/>
      <c r="F8" s="418"/>
      <c r="G8" s="418"/>
      <c r="H8" s="419" t="s">
        <v>73</v>
      </c>
      <c r="I8" s="419"/>
      <c r="J8" s="419"/>
      <c r="K8" s="419"/>
      <c r="L8" s="419"/>
      <c r="M8" s="419"/>
      <c r="N8" s="419"/>
      <c r="O8" s="419"/>
      <c r="P8" s="419"/>
      <c r="Q8" s="420"/>
      <c r="R8" s="409"/>
      <c r="S8" s="409"/>
      <c r="T8" s="410"/>
      <c r="U8" s="411"/>
    </row>
  </sheetData>
  <mergeCells count="13">
    <mergeCell ref="A1:Q1"/>
    <mergeCell ref="A3:B3"/>
    <mergeCell ref="A2:E2"/>
    <mergeCell ref="A8:G8"/>
    <mergeCell ref="H8:Q8"/>
    <mergeCell ref="A4:D4"/>
    <mergeCell ref="E4:H4"/>
    <mergeCell ref="A5:G5"/>
    <mergeCell ref="A6:G6"/>
    <mergeCell ref="A7:G7"/>
    <mergeCell ref="H7:Q7"/>
    <mergeCell ref="C3:S3"/>
    <mergeCell ref="H6:U6"/>
  </mergeCells>
  <phoneticPr fontId="10" type="noConversion"/>
  <hyperlinks>
    <hyperlink ref="H7" r:id="rId1" xr:uid="{6957F9FF-3484-46F5-9649-BC2C5253AD04}"/>
  </hyperlinks>
  <pageMargins left="0.7" right="0.7" top="0.75" bottom="0.75" header="0.3" footer="0.3"/>
  <pageSetup scale="53" orientation="portrait" horizontalDpi="1200" verticalDpi="1200"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8"/>
  <sheetViews>
    <sheetView zoomScale="80" zoomScaleNormal="80" workbookViewId="0"/>
  </sheetViews>
  <sheetFormatPr defaultRowHeight="12.75" x14ac:dyDescent="0.2"/>
  <cols>
    <col min="1" max="1" width="54.42578125" customWidth="1"/>
    <col min="2" max="6" width="20.5703125" customWidth="1"/>
  </cols>
  <sheetData>
    <row r="1" spans="1:6" ht="23.25" x14ac:dyDescent="0.35">
      <c r="A1" s="87" t="s">
        <v>74</v>
      </c>
      <c r="B1" s="88"/>
      <c r="C1" s="88"/>
      <c r="D1" s="88"/>
      <c r="E1" s="88"/>
      <c r="F1" s="158"/>
    </row>
    <row r="2" spans="1:6" ht="22.5" customHeight="1" x14ac:dyDescent="0.2">
      <c r="A2" s="167" t="str">
        <f>'Institution ID'!C3</f>
        <v>University of Virginia</v>
      </c>
      <c r="B2" s="167"/>
      <c r="C2" s="167"/>
      <c r="D2" s="167"/>
      <c r="E2" s="167"/>
      <c r="F2" s="158"/>
    </row>
    <row r="3" spans="1:6" ht="15" x14ac:dyDescent="0.2">
      <c r="A3" s="89"/>
      <c r="B3" s="89"/>
      <c r="C3" s="89"/>
      <c r="D3" s="89"/>
      <c r="E3" s="89"/>
      <c r="F3" s="158"/>
    </row>
    <row r="4" spans="1:6" ht="85.5" customHeight="1" x14ac:dyDescent="0.2">
      <c r="A4" s="437" t="s">
        <v>75</v>
      </c>
      <c r="B4" s="438"/>
      <c r="C4" s="438"/>
      <c r="D4" s="438"/>
      <c r="E4" s="438"/>
      <c r="F4" s="438"/>
    </row>
    <row r="5" spans="1:6" ht="15" x14ac:dyDescent="0.2">
      <c r="A5" s="158"/>
      <c r="B5" s="90"/>
      <c r="C5" s="90"/>
      <c r="D5" s="90"/>
      <c r="E5" s="90"/>
      <c r="F5" s="90"/>
    </row>
    <row r="6" spans="1:6" ht="18" x14ac:dyDescent="0.25">
      <c r="A6" s="158"/>
      <c r="B6" s="431" t="s">
        <v>76</v>
      </c>
      <c r="C6" s="432"/>
      <c r="D6" s="432"/>
      <c r="E6" s="432"/>
      <c r="F6" s="433"/>
    </row>
    <row r="7" spans="1:6" ht="15" x14ac:dyDescent="0.2">
      <c r="B7" s="168" t="s">
        <v>77</v>
      </c>
      <c r="C7" s="434" t="s">
        <v>78</v>
      </c>
      <c r="D7" s="435"/>
      <c r="E7" s="435" t="s">
        <v>79</v>
      </c>
      <c r="F7" s="436"/>
    </row>
    <row r="8" spans="1:6" ht="30" x14ac:dyDescent="0.2">
      <c r="B8" s="169" t="s">
        <v>80</v>
      </c>
      <c r="C8" s="170" t="s">
        <v>81</v>
      </c>
      <c r="D8" s="171" t="s">
        <v>82</v>
      </c>
      <c r="E8" s="170" t="s">
        <v>81</v>
      </c>
      <c r="F8" s="171" t="s">
        <v>82</v>
      </c>
    </row>
    <row r="9" spans="1:6" ht="15" x14ac:dyDescent="0.2">
      <c r="A9" s="107" t="s">
        <v>83</v>
      </c>
      <c r="B9" s="115">
        <v>15324</v>
      </c>
      <c r="C9" s="118">
        <v>15784.14</v>
      </c>
      <c r="D9" s="108">
        <f>IF(C9=0,"%",C9/B9-1)</f>
        <v>3.00274079874705E-2</v>
      </c>
      <c r="E9" s="118">
        <v>16257.231600000001</v>
      </c>
      <c r="F9" s="108">
        <f>IF(E9=0,"%",E9/C9-1)</f>
        <v>2.9972592741828397E-2</v>
      </c>
    </row>
    <row r="10" spans="1:6" ht="15" x14ac:dyDescent="0.2">
      <c r="A10" s="105" t="s">
        <v>84</v>
      </c>
      <c r="B10" s="116">
        <v>461</v>
      </c>
      <c r="C10" s="119">
        <v>475</v>
      </c>
      <c r="D10" s="109">
        <f t="shared" ref="D10:D15" si="0">IF(C10=0,"%",C10/B10-1)</f>
        <v>3.0368763557483636E-2</v>
      </c>
      <c r="E10" s="119">
        <v>489.07490000000001</v>
      </c>
      <c r="F10" s="109">
        <f t="shared" ref="F10:F15" si="1">IF(E10=0,"%",E10/C10-1)</f>
        <v>2.9631368421052739E-2</v>
      </c>
    </row>
    <row r="11" spans="1:6" ht="15" x14ac:dyDescent="0.2">
      <c r="A11" s="106" t="s">
        <v>85</v>
      </c>
      <c r="B11" s="117">
        <v>3023</v>
      </c>
      <c r="C11" s="120">
        <v>3113</v>
      </c>
      <c r="D11" s="110">
        <f t="shared" si="0"/>
        <v>2.9771749917300694E-2</v>
      </c>
      <c r="E11" s="120">
        <v>3206</v>
      </c>
      <c r="F11" s="110">
        <f t="shared" si="1"/>
        <v>2.9874718920655408E-2</v>
      </c>
    </row>
    <row r="12" spans="1:6" ht="15" x14ac:dyDescent="0.2">
      <c r="A12" s="112" t="s">
        <v>86</v>
      </c>
      <c r="B12" s="113">
        <f>SUM(B9:B11)</f>
        <v>18808</v>
      </c>
      <c r="C12" s="114">
        <f>SUM(C9:C11)</f>
        <v>19372.14</v>
      </c>
      <c r="D12" s="110">
        <f t="shared" si="0"/>
        <v>2.9994683113568676E-2</v>
      </c>
      <c r="E12" s="114">
        <f>SUM(E9:E11)</f>
        <v>19952.306500000002</v>
      </c>
      <c r="F12" s="110">
        <f>IF(E12=0,"%",E12/C12-1)</f>
        <v>2.9948498204122265E-2</v>
      </c>
    </row>
    <row r="13" spans="1:6" ht="15" x14ac:dyDescent="0.2">
      <c r="A13" s="105" t="s">
        <v>87</v>
      </c>
      <c r="B13" s="115">
        <v>52254</v>
      </c>
      <c r="C13" s="118">
        <v>53822.14</v>
      </c>
      <c r="D13" s="109">
        <f t="shared" si="0"/>
        <v>3.0009951391281042E-2</v>
      </c>
      <c r="E13" s="376">
        <v>55437</v>
      </c>
      <c r="F13" s="109">
        <f t="shared" si="1"/>
        <v>3.0003637908117442E-2</v>
      </c>
    </row>
    <row r="14" spans="1:6" ht="15" x14ac:dyDescent="0.2">
      <c r="A14" s="105" t="s">
        <v>88</v>
      </c>
      <c r="B14" s="116">
        <v>1143</v>
      </c>
      <c r="C14" s="119">
        <v>1177.29</v>
      </c>
      <c r="D14" s="109">
        <f t="shared" si="0"/>
        <v>3.0000000000000027E-2</v>
      </c>
      <c r="E14" s="376">
        <v>1212.6087</v>
      </c>
      <c r="F14" s="109">
        <f t="shared" si="1"/>
        <v>3.0000000000000027E-2</v>
      </c>
    </row>
    <row r="15" spans="1:6" ht="15" x14ac:dyDescent="0.2">
      <c r="A15" s="106" t="s">
        <v>89</v>
      </c>
      <c r="B15" s="117">
        <v>3023</v>
      </c>
      <c r="C15" s="120">
        <v>3113</v>
      </c>
      <c r="D15" s="110">
        <f t="shared" si="0"/>
        <v>2.9771749917300694E-2</v>
      </c>
      <c r="E15" s="377">
        <v>3206</v>
      </c>
      <c r="F15" s="110">
        <f t="shared" si="1"/>
        <v>2.9874718920655408E-2</v>
      </c>
    </row>
    <row r="16" spans="1:6" ht="15" x14ac:dyDescent="0.2">
      <c r="A16" s="112" t="s">
        <v>90</v>
      </c>
      <c r="B16" s="113">
        <f>SUM(B13:B15)</f>
        <v>56420</v>
      </c>
      <c r="C16" s="114">
        <f>SUM(C13:C15)</f>
        <v>58112.43</v>
      </c>
      <c r="D16" s="110">
        <f t="shared" ref="D16" si="2">IF(C16=0,"%",C16/B16-1)</f>
        <v>2.9996986884083698E-2</v>
      </c>
      <c r="E16" s="114">
        <f>SUM(E13:E15)</f>
        <v>59855.608699999997</v>
      </c>
      <c r="F16" s="110">
        <f>IF(E16=0,"%",E16/C16-1)</f>
        <v>2.9996658202040338E-2</v>
      </c>
    </row>
    <row r="18" spans="3:3" x14ac:dyDescent="0.2">
      <c r="C18" s="414"/>
    </row>
  </sheetData>
  <mergeCells count="4">
    <mergeCell ref="B6:F6"/>
    <mergeCell ref="C7:D7"/>
    <mergeCell ref="E7:F7"/>
    <mergeCell ref="A4:F4"/>
  </mergeCells>
  <pageMargins left="0.25" right="0.25"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
  <sheetViews>
    <sheetView topLeftCell="A3" zoomScaleNormal="100" zoomScalePageLayoutView="150" workbookViewId="0">
      <selection activeCell="C23" sqref="C23"/>
    </sheetView>
  </sheetViews>
  <sheetFormatPr defaultColWidth="8.5703125" defaultRowHeight="12.75" x14ac:dyDescent="0.2"/>
  <cols>
    <col min="1" max="1" width="39.5703125" customWidth="1"/>
    <col min="2" max="2" width="19.140625" bestFit="1" customWidth="1"/>
    <col min="3" max="3" width="20.5703125" customWidth="1"/>
    <col min="4" max="4" width="7.42578125" style="147" bestFit="1" customWidth="1"/>
    <col min="5" max="5" width="20.5703125" customWidth="1"/>
    <col min="6" max="6" width="7.42578125" style="147" customWidth="1"/>
    <col min="7" max="7" width="20.5703125" customWidth="1"/>
    <col min="8" max="8" width="7.42578125" style="147" customWidth="1"/>
    <col min="9" max="9" width="23.140625" bestFit="1" customWidth="1"/>
    <col min="10" max="10" width="7.42578125" style="147" customWidth="1"/>
    <col min="11" max="11" width="23.140625" bestFit="1" customWidth="1"/>
    <col min="12" max="12" width="7.42578125" style="147" customWidth="1"/>
    <col min="13" max="13" width="23.140625" bestFit="1" customWidth="1"/>
    <col min="14" max="14" width="7.42578125" style="147" customWidth="1"/>
    <col min="15" max="15" width="23.140625" bestFit="1" customWidth="1"/>
    <col min="16" max="16" width="7.42578125" style="147" customWidth="1"/>
    <col min="17" max="17" width="15.140625" bestFit="1" customWidth="1"/>
  </cols>
  <sheetData>
    <row r="1" spans="1:18" s="1" customFormat="1" ht="20.100000000000001" customHeight="1" x14ac:dyDescent="0.2">
      <c r="A1" s="47" t="s">
        <v>91</v>
      </c>
      <c r="B1" s="47"/>
      <c r="C1" s="47"/>
      <c r="D1" s="142"/>
      <c r="E1" s="47"/>
      <c r="F1" s="142"/>
      <c r="G1" s="47"/>
      <c r="H1" s="142"/>
      <c r="J1" s="142"/>
      <c r="L1" s="142"/>
      <c r="N1" s="142"/>
      <c r="P1" s="142"/>
    </row>
    <row r="2" spans="1:18" s="1" customFormat="1" ht="20.100000000000001" customHeight="1" x14ac:dyDescent="0.2">
      <c r="A2" s="439" t="str">
        <f>'Institution ID'!C3</f>
        <v>University of Virginia</v>
      </c>
      <c r="B2" s="439"/>
      <c r="C2" s="439"/>
      <c r="D2" s="439"/>
      <c r="E2" s="439"/>
      <c r="F2" s="439"/>
      <c r="G2" s="439"/>
      <c r="H2" s="368"/>
    </row>
    <row r="3" spans="1:18" s="2" customFormat="1" ht="147" customHeight="1" x14ac:dyDescent="0.2">
      <c r="A3" s="441" t="s">
        <v>92</v>
      </c>
      <c r="B3" s="442"/>
      <c r="C3" s="442"/>
      <c r="D3" s="442"/>
      <c r="E3" s="442"/>
      <c r="F3" s="442"/>
      <c r="G3" s="443"/>
      <c r="H3" s="141"/>
      <c r="I3" s="444" t="s">
        <v>93</v>
      </c>
      <c r="J3" s="445"/>
      <c r="K3" s="445"/>
      <c r="L3" s="445"/>
      <c r="M3" s="445"/>
      <c r="N3" s="445"/>
      <c r="O3" s="446"/>
    </row>
    <row r="4" spans="1:18" ht="15" customHeight="1" x14ac:dyDescent="0.2">
      <c r="A4" s="440" t="s">
        <v>94</v>
      </c>
      <c r="B4" s="93" t="s">
        <v>95</v>
      </c>
      <c r="C4" s="93" t="s">
        <v>96</v>
      </c>
      <c r="D4" s="143"/>
      <c r="E4" s="93" t="s">
        <v>97</v>
      </c>
      <c r="F4" s="143"/>
      <c r="G4" s="93" t="s">
        <v>98</v>
      </c>
      <c r="H4" s="143"/>
      <c r="I4" s="93" t="s">
        <v>99</v>
      </c>
      <c r="J4" s="143"/>
      <c r="K4" s="93" t="s">
        <v>100</v>
      </c>
      <c r="L4" s="143"/>
      <c r="M4" s="125" t="s">
        <v>101</v>
      </c>
      <c r="N4" s="143"/>
      <c r="O4" s="93" t="s">
        <v>102</v>
      </c>
      <c r="P4" s="143"/>
    </row>
    <row r="5" spans="1:18" ht="30" customHeight="1" x14ac:dyDescent="0.2">
      <c r="A5" s="440"/>
      <c r="B5" s="94" t="s">
        <v>103</v>
      </c>
      <c r="C5" s="94" t="s">
        <v>103</v>
      </c>
      <c r="D5" s="148" t="s">
        <v>104</v>
      </c>
      <c r="E5" s="94" t="s">
        <v>105</v>
      </c>
      <c r="F5" s="148" t="s">
        <v>104</v>
      </c>
      <c r="G5" s="94" t="s">
        <v>105</v>
      </c>
      <c r="H5" s="148" t="s">
        <v>104</v>
      </c>
      <c r="I5" s="94" t="s">
        <v>106</v>
      </c>
      <c r="J5" s="148" t="s">
        <v>104</v>
      </c>
      <c r="K5" s="94" t="s">
        <v>106</v>
      </c>
      <c r="L5" s="148" t="s">
        <v>104</v>
      </c>
      <c r="M5" s="94" t="s">
        <v>106</v>
      </c>
      <c r="N5" s="148" t="s">
        <v>104</v>
      </c>
      <c r="O5" s="94" t="s">
        <v>106</v>
      </c>
      <c r="P5" s="148" t="s">
        <v>104</v>
      </c>
      <c r="Q5" s="122" t="s">
        <v>107</v>
      </c>
      <c r="R5" s="149" t="s">
        <v>108</v>
      </c>
    </row>
    <row r="6" spans="1:18" ht="15" customHeight="1" x14ac:dyDescent="0.2">
      <c r="A6" s="95" t="s">
        <v>109</v>
      </c>
      <c r="B6" s="95"/>
      <c r="C6" s="95"/>
      <c r="D6" s="144"/>
      <c r="E6" s="95"/>
      <c r="F6" s="144"/>
      <c r="G6" s="95"/>
      <c r="H6" s="144"/>
      <c r="J6" s="144"/>
      <c r="L6" s="144"/>
      <c r="N6" s="144"/>
      <c r="O6" s="111"/>
      <c r="P6" s="144"/>
      <c r="Q6" s="121"/>
      <c r="R6" s="150"/>
    </row>
    <row r="7" spans="1:18" ht="15" customHeight="1" x14ac:dyDescent="0.2">
      <c r="A7" s="96" t="s">
        <v>110</v>
      </c>
      <c r="B7" s="405">
        <v>197520859</v>
      </c>
      <c r="C7" s="97">
        <v>203337860.38761696</v>
      </c>
      <c r="D7" s="144">
        <f>IF(B7=0,"%",C7/B7-1)</f>
        <v>2.9450061209064238E-2</v>
      </c>
      <c r="E7" s="97">
        <v>208962708.40928549</v>
      </c>
      <c r="F7" s="144">
        <f>IF(C7=0,"%",E7/C7-1)</f>
        <v>2.7662571106758183E-2</v>
      </c>
      <c r="G7" s="97">
        <v>214772861.87160406</v>
      </c>
      <c r="H7" s="144">
        <f>IF(E7=0,"%",G7/E7-1)</f>
        <v>2.780473849400189E-2</v>
      </c>
      <c r="I7" s="97">
        <v>215352325.26960528</v>
      </c>
      <c r="J7" s="144">
        <f>IF(G7=0,"%",I7/G7-1)</f>
        <v>2.6980289453313322E-3</v>
      </c>
      <c r="K7" s="97">
        <v>214821880.68764326</v>
      </c>
      <c r="L7" s="144">
        <f>IF(I7=0,"%",K7/I7-1)</f>
        <v>-2.4631476873906433E-3</v>
      </c>
      <c r="M7" s="126">
        <v>214290979.52396932</v>
      </c>
      <c r="N7" s="144">
        <f>IF(K7=0,"%",M7/K7-1)</f>
        <v>-2.4713551616554197E-3</v>
      </c>
      <c r="O7" s="97">
        <v>213759607.89574403</v>
      </c>
      <c r="P7" s="144">
        <f>IF(M7=0,"%",O7/M7-1)</f>
        <v>-2.4796733367205004E-3</v>
      </c>
      <c r="Q7" s="121">
        <f t="shared" ref="Q7:Q26" si="0">IF(O13=0,"%",O13/B13-1)</f>
        <v>0.12308308335353146</v>
      </c>
      <c r="R7" s="150">
        <f t="shared" ref="R7:R26" si="1">IF(B7=0,"%",(O7/B7)^(1/7)-1)</f>
        <v>1.135077410977936E-2</v>
      </c>
    </row>
    <row r="8" spans="1:18" ht="15" customHeight="1" x14ac:dyDescent="0.2">
      <c r="A8" s="96" t="s">
        <v>111</v>
      </c>
      <c r="B8" s="406">
        <v>285282091</v>
      </c>
      <c r="C8" s="97">
        <f>300197014.288103+1000000</f>
        <v>301197014.28810298</v>
      </c>
      <c r="D8" s="144">
        <f>IF(B8=0,"%",C8/B8-1)</f>
        <v>5.5786618894710038E-2</v>
      </c>
      <c r="E8" s="97">
        <v>308996277.85154611</v>
      </c>
      <c r="F8" s="144">
        <f>IF(C8=0,"%",E8/C8-1)</f>
        <v>2.5894226016407007E-2</v>
      </c>
      <c r="G8" s="97">
        <v>318066719.3218925</v>
      </c>
      <c r="H8" s="144">
        <f>IF(E8=0,"%",G8/E8-1)</f>
        <v>2.9354533114163139E-2</v>
      </c>
      <c r="I8" s="97">
        <v>312926588.97268015</v>
      </c>
      <c r="J8" s="144">
        <f>IF(G8=0,"%",I8/G8-1)</f>
        <v>-1.616054128571176E-2</v>
      </c>
      <c r="K8" s="97">
        <v>312739560.05706549</v>
      </c>
      <c r="L8" s="144">
        <f>IF(I8=0,"%",K8/I8-1)</f>
        <v>-5.9767665070797893E-4</v>
      </c>
      <c r="M8" s="126">
        <v>312552341.23273194</v>
      </c>
      <c r="N8" s="144">
        <f>IF(K8=0,"%",M8/K8-1)</f>
        <v>-5.9864132410814008E-4</v>
      </c>
      <c r="O8" s="97">
        <v>312364926.46535069</v>
      </c>
      <c r="P8" s="144">
        <f>IF(M8=0,"%",O8/M8-1)</f>
        <v>-5.9962682295733316E-4</v>
      </c>
      <c r="Q8" s="121">
        <f t="shared" si="0"/>
        <v>9.6929312576908178E-2</v>
      </c>
      <c r="R8" s="150">
        <f t="shared" si="1"/>
        <v>1.3040532363432167E-2</v>
      </c>
    </row>
    <row r="9" spans="1:18" ht="15" customHeight="1" x14ac:dyDescent="0.2">
      <c r="A9" s="96" t="s">
        <v>112</v>
      </c>
      <c r="B9" s="406">
        <v>53287150</v>
      </c>
      <c r="C9" s="97">
        <f>50504557.9830014+2000000</f>
        <v>52504557.983001404</v>
      </c>
      <c r="D9" s="144">
        <f t="shared" ref="D9:D26" si="2">IF(B9=0,"%",C9/B9-1)</f>
        <v>-1.468631775200202E-2</v>
      </c>
      <c r="E9" s="97">
        <v>51999030.035971485</v>
      </c>
      <c r="F9" s="144">
        <f t="shared" ref="F9:P26" si="3">IF(C9=0,"%",E9/C9-1)</f>
        <v>-9.6282678390242626E-3</v>
      </c>
      <c r="G9" s="97">
        <v>53539056.25053063</v>
      </c>
      <c r="H9" s="144">
        <f t="shared" si="3"/>
        <v>2.9616441181572029E-2</v>
      </c>
      <c r="I9" s="97">
        <v>54832814.177835338</v>
      </c>
      <c r="J9" s="144">
        <f t="shared" si="3"/>
        <v>2.4164750331995055E-2</v>
      </c>
      <c r="K9" s="97">
        <v>55415030.192368351</v>
      </c>
      <c r="L9" s="144">
        <f t="shared" si="3"/>
        <v>1.061802176785509E-2</v>
      </c>
      <c r="M9" s="126">
        <v>56003917.992278725</v>
      </c>
      <c r="N9" s="144">
        <f t="shared" si="3"/>
        <v>1.0626860580353448E-2</v>
      </c>
      <c r="O9" s="97">
        <v>56599550.763007373</v>
      </c>
      <c r="P9" s="144">
        <f t="shared" si="3"/>
        <v>1.0635555369729044E-2</v>
      </c>
      <c r="Q9" s="121" t="str">
        <f t="shared" si="0"/>
        <v>%</v>
      </c>
      <c r="R9" s="150">
        <f t="shared" si="1"/>
        <v>8.6523361103825192E-3</v>
      </c>
    </row>
    <row r="10" spans="1:18" ht="15" customHeight="1" x14ac:dyDescent="0.2">
      <c r="A10" s="96" t="s">
        <v>113</v>
      </c>
      <c r="B10" s="406">
        <v>120497930</v>
      </c>
      <c r="C10" s="97">
        <f>135008627.877519+889954</f>
        <v>135898581.87751901</v>
      </c>
      <c r="D10" s="144">
        <f t="shared" si="2"/>
        <v>0.12780843519485363</v>
      </c>
      <c r="E10" s="97">
        <v>139017557.3408041</v>
      </c>
      <c r="F10" s="144">
        <f t="shared" si="3"/>
        <v>2.2950757985805259E-2</v>
      </c>
      <c r="G10" s="97">
        <v>143148194.68798822</v>
      </c>
      <c r="H10" s="144">
        <f t="shared" si="3"/>
        <v>2.9713062336851337E-2</v>
      </c>
      <c r="I10" s="97">
        <v>146674312.31535375</v>
      </c>
      <c r="J10" s="144">
        <f t="shared" si="3"/>
        <v>2.4632637771305532E-2</v>
      </c>
      <c r="K10" s="97">
        <v>147827051.73750129</v>
      </c>
      <c r="L10" s="144">
        <f t="shared" si="3"/>
        <v>7.8591772748122235E-3</v>
      </c>
      <c r="M10" s="126">
        <v>148989575.13141707</v>
      </c>
      <c r="N10" s="144">
        <f t="shared" si="3"/>
        <v>7.8640775166110011E-3</v>
      </c>
      <c r="O10" s="97">
        <v>150161961.57991192</v>
      </c>
      <c r="P10" s="144">
        <f t="shared" si="3"/>
        <v>7.8689159792606489E-3</v>
      </c>
      <c r="Q10" s="121" t="str">
        <f t="shared" si="0"/>
        <v>%</v>
      </c>
      <c r="R10" s="150">
        <f t="shared" si="1"/>
        <v>3.1939734682074006E-2</v>
      </c>
    </row>
    <row r="11" spans="1:18" ht="15" customHeight="1" x14ac:dyDescent="0.2">
      <c r="A11" s="96" t="s">
        <v>114</v>
      </c>
      <c r="B11" s="406">
        <v>14632245</v>
      </c>
      <c r="C11" s="97">
        <v>14353694.9671</v>
      </c>
      <c r="D11" s="144">
        <f t="shared" si="2"/>
        <v>-1.9036725594739567E-2</v>
      </c>
      <c r="E11" s="97">
        <v>14732644.099813001</v>
      </c>
      <c r="F11" s="144">
        <f t="shared" si="3"/>
        <v>2.6400807149767891E-2</v>
      </c>
      <c r="G11" s="97">
        <v>15124761.70650739</v>
      </c>
      <c r="H11" s="144">
        <f t="shared" si="3"/>
        <v>2.6615562287245265E-2</v>
      </c>
      <c r="I11" s="97">
        <v>15095384.202776715</v>
      </c>
      <c r="J11" s="144">
        <f t="shared" si="3"/>
        <v>-1.9423448977735625E-3</v>
      </c>
      <c r="K11" s="97">
        <v>15065957.860282617</v>
      </c>
      <c r="L11" s="144">
        <f t="shared" si="3"/>
        <v>-1.9493602878081218E-3</v>
      </c>
      <c r="M11" s="126">
        <v>15036547.847033784</v>
      </c>
      <c r="N11" s="144">
        <f t="shared" si="3"/>
        <v>-1.9520838649339511E-3</v>
      </c>
      <c r="O11" s="97">
        <v>15007152.791584268</v>
      </c>
      <c r="P11" s="144">
        <f t="shared" si="3"/>
        <v>-1.9549071867126511E-3</v>
      </c>
      <c r="Q11" s="121" t="str">
        <f t="shared" si="0"/>
        <v>%</v>
      </c>
      <c r="R11" s="150">
        <f t="shared" si="1"/>
        <v>3.6207226291182781E-3</v>
      </c>
    </row>
    <row r="12" spans="1:18" ht="15" customHeight="1" x14ac:dyDescent="0.2">
      <c r="A12" s="96" t="s">
        <v>115</v>
      </c>
      <c r="B12" s="406">
        <v>46774608</v>
      </c>
      <c r="C12" s="97">
        <v>50210330.6046452</v>
      </c>
      <c r="D12" s="144">
        <f t="shared" si="2"/>
        <v>7.3452728981613369E-2</v>
      </c>
      <c r="E12" s="97">
        <v>51592032.463068962</v>
      </c>
      <c r="F12" s="144">
        <f t="shared" si="3"/>
        <v>2.7518278445590072E-2</v>
      </c>
      <c r="G12" s="97">
        <v>53019526.977245428</v>
      </c>
      <c r="H12" s="144">
        <f t="shared" si="3"/>
        <v>2.7668894711568193E-2</v>
      </c>
      <c r="I12" s="97">
        <v>53038231.638210624</v>
      </c>
      <c r="J12" s="144">
        <f t="shared" si="3"/>
        <v>3.5278815243344752E-4</v>
      </c>
      <c r="K12" s="97">
        <v>53001034.734230295</v>
      </c>
      <c r="L12" s="144">
        <f t="shared" si="3"/>
        <v>-7.0132247685139593E-4</v>
      </c>
      <c r="M12" s="126">
        <v>52963945.824069075</v>
      </c>
      <c r="N12" s="144">
        <f t="shared" si="3"/>
        <v>-6.99777095809484E-4</v>
      </c>
      <c r="O12" s="97">
        <v>52926961.739115924</v>
      </c>
      <c r="P12" s="144">
        <f t="shared" si="3"/>
        <v>-6.9828794621917822E-4</v>
      </c>
      <c r="Q12" s="121" t="str">
        <f t="shared" si="0"/>
        <v>%</v>
      </c>
      <c r="R12" s="150">
        <f t="shared" si="1"/>
        <v>1.7809937403366893E-2</v>
      </c>
    </row>
    <row r="13" spans="1:18" ht="15" customHeight="1" x14ac:dyDescent="0.2">
      <c r="A13" s="96" t="s">
        <v>116</v>
      </c>
      <c r="B13" s="406">
        <v>14507011</v>
      </c>
      <c r="C13" s="97">
        <v>15555364.9671</v>
      </c>
      <c r="D13" s="144">
        <f t="shared" si="2"/>
        <v>7.2265332059098908E-2</v>
      </c>
      <c r="E13" s="97">
        <v>15970364.199813001</v>
      </c>
      <c r="F13" s="144">
        <f t="shared" si="3"/>
        <v>2.6678848975304259E-2</v>
      </c>
      <c r="G13" s="97">
        <v>16399613.409507392</v>
      </c>
      <c r="H13" s="144">
        <f t="shared" si="3"/>
        <v>2.6877859786029079E-2</v>
      </c>
      <c r="I13" s="97">
        <v>16372875.350296386</v>
      </c>
      <c r="J13" s="144">
        <f t="shared" si="3"/>
        <v>-1.6304078970242886E-3</v>
      </c>
      <c r="K13" s="97">
        <v>16346088.452321956</v>
      </c>
      <c r="L13" s="144">
        <f t="shared" si="3"/>
        <v>-1.6360533749464334E-3</v>
      </c>
      <c r="M13" s="126">
        <v>16319323.336990558</v>
      </c>
      <c r="N13" s="144">
        <f t="shared" si="3"/>
        <v>-1.637401841392605E-3</v>
      </c>
      <c r="O13" s="97">
        <v>16292578.644123599</v>
      </c>
      <c r="P13" s="144">
        <f t="shared" si="3"/>
        <v>-1.638835895011459E-3</v>
      </c>
      <c r="Q13" s="121" t="str">
        <f t="shared" si="0"/>
        <v>%</v>
      </c>
      <c r="R13" s="150">
        <f t="shared" si="1"/>
        <v>1.6720775506927854E-2</v>
      </c>
    </row>
    <row r="14" spans="1:18" ht="15" customHeight="1" x14ac:dyDescent="0.2">
      <c r="A14" s="96" t="s">
        <v>117</v>
      </c>
      <c r="B14" s="406">
        <v>22818631</v>
      </c>
      <c r="C14" s="97">
        <v>23760980.476914801</v>
      </c>
      <c r="D14" s="144">
        <f t="shared" si="2"/>
        <v>4.1297371297813745E-2</v>
      </c>
      <c r="E14" s="97">
        <v>24412435.772257842</v>
      </c>
      <c r="F14" s="144">
        <f t="shared" si="3"/>
        <v>2.7417020773867762E-2</v>
      </c>
      <c r="G14" s="97">
        <v>25085573.126461178</v>
      </c>
      <c r="H14" s="144">
        <f t="shared" si="3"/>
        <v>2.7573543274542311E-2</v>
      </c>
      <c r="I14" s="97">
        <v>25091604.873270951</v>
      </c>
      <c r="J14" s="144">
        <f t="shared" si="3"/>
        <v>2.4044684087409784E-4</v>
      </c>
      <c r="K14" s="97">
        <v>25071163.345682666</v>
      </c>
      <c r="L14" s="144">
        <f t="shared" si="3"/>
        <v>-8.1467597196471786E-4</v>
      </c>
      <c r="M14" s="126">
        <v>25050770.650057435</v>
      </c>
      <c r="N14" s="144">
        <f t="shared" si="3"/>
        <v>-8.1339247581191376E-4</v>
      </c>
      <c r="O14" s="97">
        <v>25030425.216776125</v>
      </c>
      <c r="P14" s="144">
        <f t="shared" si="3"/>
        <v>-8.1216795944216713E-4</v>
      </c>
      <c r="Q14" s="121" t="str">
        <f t="shared" si="0"/>
        <v>%</v>
      </c>
      <c r="R14" s="150">
        <f t="shared" si="1"/>
        <v>1.3304114278628765E-2</v>
      </c>
    </row>
    <row r="15" spans="1:18" ht="15" customHeight="1" x14ac:dyDescent="0.2">
      <c r="A15" s="96" t="s">
        <v>118</v>
      </c>
      <c r="B15" s="97">
        <v>0</v>
      </c>
      <c r="C15" s="97">
        <v>0</v>
      </c>
      <c r="D15" s="144" t="str">
        <f t="shared" si="2"/>
        <v>%</v>
      </c>
      <c r="E15" s="97">
        <v>0</v>
      </c>
      <c r="F15" s="144" t="str">
        <f t="shared" si="3"/>
        <v>%</v>
      </c>
      <c r="G15" s="97">
        <v>0</v>
      </c>
      <c r="H15" s="144" t="str">
        <f t="shared" si="3"/>
        <v>%</v>
      </c>
      <c r="I15" s="97">
        <f>0</f>
        <v>0</v>
      </c>
      <c r="J15" s="144" t="str">
        <f t="shared" si="3"/>
        <v>%</v>
      </c>
      <c r="K15" s="97">
        <f>0</f>
        <v>0</v>
      </c>
      <c r="L15" s="144" t="str">
        <f t="shared" si="3"/>
        <v>%</v>
      </c>
      <c r="M15" s="126">
        <f>0</f>
        <v>0</v>
      </c>
      <c r="N15" s="144" t="str">
        <f t="shared" si="3"/>
        <v>%</v>
      </c>
      <c r="O15" s="97">
        <f>0</f>
        <v>0</v>
      </c>
      <c r="P15" s="144" t="str">
        <f t="shared" si="3"/>
        <v>%</v>
      </c>
      <c r="Q15" s="121">
        <f t="shared" si="0"/>
        <v>7.4143122793109972E-2</v>
      </c>
      <c r="R15" s="150" t="str">
        <f t="shared" si="1"/>
        <v>%</v>
      </c>
    </row>
    <row r="16" spans="1:18" ht="15" customHeight="1" x14ac:dyDescent="0.2">
      <c r="A16" s="96" t="s">
        <v>119</v>
      </c>
      <c r="B16" s="97">
        <v>0</v>
      </c>
      <c r="C16" s="97">
        <v>0</v>
      </c>
      <c r="D16" s="144" t="str">
        <f t="shared" si="2"/>
        <v>%</v>
      </c>
      <c r="E16" s="97">
        <v>0</v>
      </c>
      <c r="F16" s="144" t="str">
        <f t="shared" si="3"/>
        <v>%</v>
      </c>
      <c r="G16" s="97">
        <f>0</f>
        <v>0</v>
      </c>
      <c r="H16" s="144" t="str">
        <f t="shared" si="3"/>
        <v>%</v>
      </c>
      <c r="I16" s="97">
        <f>0</f>
        <v>0</v>
      </c>
      <c r="J16" s="144" t="str">
        <f t="shared" si="3"/>
        <v>%</v>
      </c>
      <c r="K16" s="97">
        <f>0</f>
        <v>0</v>
      </c>
      <c r="L16" s="144" t="str">
        <f t="shared" si="3"/>
        <v>%</v>
      </c>
      <c r="M16" s="126">
        <f>0</f>
        <v>0</v>
      </c>
      <c r="N16" s="144" t="str">
        <f t="shared" si="3"/>
        <v>%</v>
      </c>
      <c r="O16" s="97">
        <f>0</f>
        <v>0</v>
      </c>
      <c r="P16" s="144" t="str">
        <f t="shared" si="3"/>
        <v>%</v>
      </c>
      <c r="Q16" s="121">
        <f t="shared" si="0"/>
        <v>0.12018621458173628</v>
      </c>
      <c r="R16" s="150" t="str">
        <f t="shared" si="1"/>
        <v>%</v>
      </c>
    </row>
    <row r="17" spans="1:18" ht="15" customHeight="1" x14ac:dyDescent="0.2">
      <c r="A17" s="96" t="s">
        <v>120</v>
      </c>
      <c r="B17" s="97">
        <v>0</v>
      </c>
      <c r="C17" s="97">
        <v>0</v>
      </c>
      <c r="D17" s="144" t="str">
        <f t="shared" si="2"/>
        <v>%</v>
      </c>
      <c r="E17" s="97">
        <v>0</v>
      </c>
      <c r="F17" s="144" t="str">
        <f t="shared" si="3"/>
        <v>%</v>
      </c>
      <c r="G17" s="97">
        <f>0</f>
        <v>0</v>
      </c>
      <c r="H17" s="144" t="str">
        <f t="shared" si="3"/>
        <v>%</v>
      </c>
      <c r="I17" s="97">
        <f>0</f>
        <v>0</v>
      </c>
      <c r="J17" s="144" t="str">
        <f t="shared" si="3"/>
        <v>%</v>
      </c>
      <c r="K17" s="97">
        <f>0</f>
        <v>0</v>
      </c>
      <c r="L17" s="144" t="str">
        <f t="shared" si="3"/>
        <v>%</v>
      </c>
      <c r="M17" s="126">
        <f>0</f>
        <v>0</v>
      </c>
      <c r="N17" s="144" t="str">
        <f t="shared" si="3"/>
        <v>%</v>
      </c>
      <c r="O17" s="97">
        <f>0</f>
        <v>0</v>
      </c>
      <c r="P17" s="144" t="str">
        <f t="shared" si="3"/>
        <v>%</v>
      </c>
      <c r="Q17" s="121">
        <f t="shared" si="0"/>
        <v>0.54087853019967036</v>
      </c>
      <c r="R17" s="150" t="str">
        <f t="shared" si="1"/>
        <v>%</v>
      </c>
    </row>
    <row r="18" spans="1:18" ht="15" customHeight="1" x14ac:dyDescent="0.2">
      <c r="A18" s="96" t="s">
        <v>121</v>
      </c>
      <c r="B18" s="97">
        <v>0</v>
      </c>
      <c r="C18" s="97">
        <v>0</v>
      </c>
      <c r="D18" s="144" t="str">
        <f t="shared" si="2"/>
        <v>%</v>
      </c>
      <c r="E18" s="97">
        <v>0</v>
      </c>
      <c r="F18" s="144" t="str">
        <f t="shared" si="3"/>
        <v>%</v>
      </c>
      <c r="G18" s="97">
        <f>0</f>
        <v>0</v>
      </c>
      <c r="H18" s="144" t="str">
        <f t="shared" si="3"/>
        <v>%</v>
      </c>
      <c r="I18" s="97">
        <f>0</f>
        <v>0</v>
      </c>
      <c r="J18" s="144" t="str">
        <f t="shared" si="3"/>
        <v>%</v>
      </c>
      <c r="K18" s="97">
        <f>0</f>
        <v>0</v>
      </c>
      <c r="L18" s="144" t="str">
        <f t="shared" si="3"/>
        <v>%</v>
      </c>
      <c r="M18" s="126">
        <f>0</f>
        <v>0</v>
      </c>
      <c r="N18" s="144" t="str">
        <f t="shared" si="3"/>
        <v>%</v>
      </c>
      <c r="O18" s="97">
        <f>0</f>
        <v>0</v>
      </c>
      <c r="P18" s="144" t="str">
        <f t="shared" si="3"/>
        <v>%</v>
      </c>
      <c r="Q18" s="121">
        <f t="shared" ref="Q18:Q23" si="4">IF(O26=0,"%",O26/B26-1)</f>
        <v>0.11957325568636135</v>
      </c>
      <c r="R18" s="150" t="str">
        <f t="shared" si="1"/>
        <v>%</v>
      </c>
    </row>
    <row r="19" spans="1:18" ht="15" customHeight="1" x14ac:dyDescent="0.2">
      <c r="A19" s="96" t="s">
        <v>122</v>
      </c>
      <c r="B19" s="97">
        <v>0</v>
      </c>
      <c r="C19" s="97">
        <v>0</v>
      </c>
      <c r="D19" s="144" t="str">
        <f t="shared" si="2"/>
        <v>%</v>
      </c>
      <c r="E19" s="97">
        <v>0</v>
      </c>
      <c r="F19" s="144" t="str">
        <f t="shared" si="3"/>
        <v>%</v>
      </c>
      <c r="G19" s="97">
        <f>0</f>
        <v>0</v>
      </c>
      <c r="H19" s="144" t="str">
        <f t="shared" si="3"/>
        <v>%</v>
      </c>
      <c r="I19" s="97">
        <f>0</f>
        <v>0</v>
      </c>
      <c r="J19" s="144" t="str">
        <f t="shared" si="3"/>
        <v>%</v>
      </c>
      <c r="K19" s="97">
        <f>0</f>
        <v>0</v>
      </c>
      <c r="L19" s="144" t="str">
        <f t="shared" si="3"/>
        <v>%</v>
      </c>
      <c r="M19" s="126">
        <f>0</f>
        <v>0</v>
      </c>
      <c r="N19" s="144" t="str">
        <f t="shared" si="3"/>
        <v>%</v>
      </c>
      <c r="O19" s="97">
        <f>0</f>
        <v>0</v>
      </c>
      <c r="P19" s="144" t="str">
        <f t="shared" si="3"/>
        <v>%</v>
      </c>
      <c r="Q19" s="121" t="str">
        <f t="shared" si="4"/>
        <v>%</v>
      </c>
      <c r="R19" s="150" t="str">
        <f t="shared" si="1"/>
        <v>%</v>
      </c>
    </row>
    <row r="20" spans="1:18" ht="15" customHeight="1" x14ac:dyDescent="0.2">
      <c r="A20" s="96" t="s">
        <v>123</v>
      </c>
      <c r="B20" s="97">
        <f>0</f>
        <v>0</v>
      </c>
      <c r="C20" s="97">
        <f>0</f>
        <v>0</v>
      </c>
      <c r="D20" s="144" t="str">
        <f t="shared" si="2"/>
        <v>%</v>
      </c>
      <c r="E20" s="97">
        <v>0</v>
      </c>
      <c r="F20" s="144" t="str">
        <f t="shared" si="3"/>
        <v>%</v>
      </c>
      <c r="G20" s="97">
        <f>0</f>
        <v>0</v>
      </c>
      <c r="H20" s="144" t="str">
        <f t="shared" si="3"/>
        <v>%</v>
      </c>
      <c r="I20" s="97">
        <f>0</f>
        <v>0</v>
      </c>
      <c r="J20" s="144" t="str">
        <f t="shared" si="3"/>
        <v>%</v>
      </c>
      <c r="K20" s="97">
        <f>0</f>
        <v>0</v>
      </c>
      <c r="L20" s="144" t="str">
        <f t="shared" si="3"/>
        <v>%</v>
      </c>
      <c r="M20" s="126">
        <f>0</f>
        <v>0</v>
      </c>
      <c r="N20" s="144" t="str">
        <f t="shared" si="3"/>
        <v>%</v>
      </c>
      <c r="O20" s="97">
        <f>0</f>
        <v>0</v>
      </c>
      <c r="P20" s="144" t="str">
        <f t="shared" si="3"/>
        <v>%</v>
      </c>
      <c r="Q20" s="121" t="str">
        <f t="shared" si="4"/>
        <v>%</v>
      </c>
      <c r="R20" s="150" t="str">
        <f t="shared" si="1"/>
        <v>%</v>
      </c>
    </row>
    <row r="21" spans="1:18" ht="15" customHeight="1" x14ac:dyDescent="0.2">
      <c r="A21" s="123" t="s">
        <v>124</v>
      </c>
      <c r="B21" s="99">
        <f>SUM(B11,B13,B15,B17,B19)</f>
        <v>29139256</v>
      </c>
      <c r="C21" s="99">
        <f t="shared" ref="C21:G21" si="5">SUM(C11,C13,C15,C17,C19)</f>
        <v>29909059.9342</v>
      </c>
      <c r="D21" s="144">
        <f t="shared" si="2"/>
        <v>2.6418105328427144E-2</v>
      </c>
      <c r="E21" s="99">
        <f t="shared" si="5"/>
        <v>30703008.299626</v>
      </c>
      <c r="F21" s="144">
        <f t="shared" si="3"/>
        <v>2.6545413569422971E-2</v>
      </c>
      <c r="G21" s="99">
        <f t="shared" si="5"/>
        <v>31524375.116014782</v>
      </c>
      <c r="H21" s="144">
        <f t="shared" si="3"/>
        <v>2.6751997992287446E-2</v>
      </c>
      <c r="I21" s="99">
        <f t="shared" ref="I21:O21" si="6">SUM(I11,I13,I15,I17,I19)</f>
        <v>31468259.553073101</v>
      </c>
      <c r="J21" s="144">
        <f t="shared" si="3"/>
        <v>-1.7800690016904763E-3</v>
      </c>
      <c r="K21" s="99">
        <f t="shared" si="6"/>
        <v>31412046.312604573</v>
      </c>
      <c r="L21" s="144">
        <f t="shared" si="3"/>
        <v>-1.7863472993706608E-3</v>
      </c>
      <c r="M21" s="127">
        <f t="shared" si="6"/>
        <v>31355871.184024341</v>
      </c>
      <c r="N21" s="144">
        <f t="shared" si="3"/>
        <v>-1.7883307576077589E-3</v>
      </c>
      <c r="O21" s="99">
        <f t="shared" si="6"/>
        <v>31299731.435707867</v>
      </c>
      <c r="P21" s="144">
        <f t="shared" si="3"/>
        <v>-1.7904062683188338E-3</v>
      </c>
      <c r="Q21" s="121" t="str">
        <f t="shared" si="4"/>
        <v>%</v>
      </c>
      <c r="R21" s="150">
        <f t="shared" si="1"/>
        <v>1.0269984937066878E-2</v>
      </c>
    </row>
    <row r="22" spans="1:18" ht="15" customHeight="1" x14ac:dyDescent="0.2">
      <c r="A22" s="123" t="s">
        <v>125</v>
      </c>
      <c r="B22" s="99">
        <f>SUM(B12,B14,B16,B18,B20)</f>
        <v>69593239</v>
      </c>
      <c r="C22" s="99">
        <f t="shared" ref="C22:G22" si="7">SUM(C12,C14,C16,C18,C20)</f>
        <v>73971311.081560001</v>
      </c>
      <c r="D22" s="144">
        <f t="shared" si="2"/>
        <v>6.2909445579332868E-2</v>
      </c>
      <c r="E22" s="99">
        <f t="shared" si="7"/>
        <v>76004468.235326797</v>
      </c>
      <c r="F22" s="144">
        <f t="shared" si="3"/>
        <v>2.7485752571359212E-2</v>
      </c>
      <c r="G22" s="99">
        <f t="shared" si="7"/>
        <v>78105100.103706598</v>
      </c>
      <c r="H22" s="144">
        <f t="shared" si="3"/>
        <v>2.7638268080184103E-2</v>
      </c>
      <c r="I22" s="99">
        <f t="shared" ref="I22:O22" si="8">SUM(I12,I14,I16,I18,I20)</f>
        <v>78129836.511481583</v>
      </c>
      <c r="J22" s="144">
        <f t="shared" si="3"/>
        <v>3.1670669062755508E-4</v>
      </c>
      <c r="K22" s="99">
        <f t="shared" si="8"/>
        <v>78072198.079912961</v>
      </c>
      <c r="L22" s="144">
        <f t="shared" si="3"/>
        <v>-7.3772625340318143E-4</v>
      </c>
      <c r="M22" s="127">
        <f t="shared" si="8"/>
        <v>78014716.474126518</v>
      </c>
      <c r="N22" s="144">
        <f t="shared" si="3"/>
        <v>-7.3626216758504448E-4</v>
      </c>
      <c r="O22" s="99">
        <f t="shared" si="8"/>
        <v>77957386.955892056</v>
      </c>
      <c r="P22" s="144">
        <f t="shared" si="3"/>
        <v>-7.3485517637528197E-4</v>
      </c>
      <c r="Q22" s="121" t="str">
        <f t="shared" si="4"/>
        <v>%</v>
      </c>
      <c r="R22" s="150">
        <f t="shared" si="1"/>
        <v>1.6345715127728644E-2</v>
      </c>
    </row>
    <row r="23" spans="1:18" ht="15" customHeight="1" x14ac:dyDescent="0.2">
      <c r="A23" s="98" t="s">
        <v>126</v>
      </c>
      <c r="B23" s="405">
        <v>47668703</v>
      </c>
      <c r="C23" s="405">
        <v>61624626</v>
      </c>
      <c r="D23" s="144">
        <f t="shared" si="2"/>
        <v>0.29276909422100283</v>
      </c>
      <c r="E23" s="97">
        <v>63360065.271464512</v>
      </c>
      <c r="F23" s="144">
        <f t="shared" si="3"/>
        <v>2.8161457263278455E-2</v>
      </c>
      <c r="G23" s="97">
        <v>65260867.229608446</v>
      </c>
      <c r="H23" s="144">
        <f t="shared" si="3"/>
        <v>3.0000000000000027E-2</v>
      </c>
      <c r="I23" s="97">
        <v>67218693.246496707</v>
      </c>
      <c r="J23" s="144">
        <f t="shared" si="3"/>
        <v>3.0000000000000027E-2</v>
      </c>
      <c r="K23" s="97">
        <v>69235254.043891609</v>
      </c>
      <c r="L23" s="144">
        <f t="shared" si="3"/>
        <v>3.0000000000000027E-2</v>
      </c>
      <c r="M23" s="126">
        <v>71312311.665208355</v>
      </c>
      <c r="N23" s="144">
        <f t="shared" si="3"/>
        <v>3.0000000000000027E-2</v>
      </c>
      <c r="O23" s="97">
        <v>73451681.015164614</v>
      </c>
      <c r="P23" s="144">
        <f t="shared" si="3"/>
        <v>3.0000000000000027E-2</v>
      </c>
      <c r="Q23" s="121" t="str">
        <f t="shared" si="4"/>
        <v>%</v>
      </c>
      <c r="R23" s="150">
        <f t="shared" si="1"/>
        <v>6.3711997691048294E-2</v>
      </c>
    </row>
    <row r="24" spans="1:18" ht="15" customHeight="1" x14ac:dyDescent="0.2">
      <c r="A24" s="124" t="s">
        <v>127</v>
      </c>
      <c r="B24" s="99">
        <f>SUM(B7:B20,B23)</f>
        <v>802989228</v>
      </c>
      <c r="C24" s="99">
        <f>SUM(C7:C20,C23)</f>
        <v>858443011.5520004</v>
      </c>
      <c r="D24" s="144">
        <f t="shared" ref="D24" si="9">IF(B24=0,"%",C24/B24-1)</f>
        <v>6.9059187369323372E-2</v>
      </c>
      <c r="E24" s="99">
        <f>SUM(E7:E20,E23)</f>
        <v>879043115.44402444</v>
      </c>
      <c r="F24" s="144">
        <f t="shared" ref="F24" si="10">IF(C24=0,"%",E24/C24-1)</f>
        <v>2.399705468483071E-2</v>
      </c>
      <c r="G24" s="99">
        <f>SUM(G7:G20,G23)</f>
        <v>904417174.58134532</v>
      </c>
      <c r="H24" s="144">
        <f t="shared" ref="H24" si="11">IF(E24=0,"%",G24/E24-1)</f>
        <v>2.8865545604670251E-2</v>
      </c>
      <c r="I24" s="99">
        <f>SUM(I7:I20,I23)</f>
        <v>906602830.04652584</v>
      </c>
      <c r="J24" s="144">
        <f t="shared" ref="J24" si="12">IF(G24=0,"%",I24/G24-1)</f>
        <v>2.4166452458096455E-3</v>
      </c>
      <c r="K24" s="99">
        <f>SUM(K7:K20,K23)</f>
        <v>909523021.11098766</v>
      </c>
      <c r="L24" s="144">
        <f t="shared" ref="L24" si="13">IF(I24=0,"%",K24/I24-1)</f>
        <v>3.2210257542566456E-3</v>
      </c>
      <c r="M24" s="99">
        <f>SUM(M7:M20,M23)</f>
        <v>912519713.20375609</v>
      </c>
      <c r="N24" s="144">
        <f t="shared" ref="N24" si="14">IF(K24=0,"%",M24/K24-1)</f>
        <v>3.2947952093702604E-3</v>
      </c>
      <c r="O24" s="99">
        <f>SUM(O7:O20,O23)</f>
        <v>915594846.11077857</v>
      </c>
      <c r="P24" s="144">
        <f t="shared" ref="P24" si="15">IF(M24=0,"%",O24/M24-1)</f>
        <v>3.3699358627836684E-3</v>
      </c>
      <c r="Q24" s="121" t="str">
        <f t="shared" ref="Q24" si="16">IF(O30=0,"%",O30/B30-1)</f>
        <v>%</v>
      </c>
      <c r="R24" s="150">
        <f t="shared" ref="R24" si="17">IF(B24=0,"%",(O24/B24)^(1/7)-1)</f>
        <v>1.8924361016924962E-2</v>
      </c>
    </row>
    <row r="25" spans="1:18" ht="15" customHeight="1" x14ac:dyDescent="0.2">
      <c r="A25" s="151" t="s">
        <v>128</v>
      </c>
      <c r="B25" s="152">
        <v>240519953</v>
      </c>
      <c r="C25" s="152">
        <v>252690125</v>
      </c>
      <c r="D25" s="144">
        <f t="shared" ref="D25" si="18">IF(B25=0,"%",C25/B25-1)</f>
        <v>5.0599427815454456E-2</v>
      </c>
      <c r="E25" s="99">
        <f>C25</f>
        <v>252690125</v>
      </c>
      <c r="F25" s="144">
        <f t="shared" ref="F25" si="19">IF(C25=0,"%",E25/C25-1)</f>
        <v>0</v>
      </c>
      <c r="G25" s="99">
        <f>E25</f>
        <v>252690125</v>
      </c>
      <c r="H25" s="144">
        <f t="shared" ref="H25" si="20">IF(E25=0,"%",G25/E25-1)</f>
        <v>0</v>
      </c>
      <c r="I25" s="99">
        <f>G25</f>
        <v>252690125</v>
      </c>
      <c r="J25" s="144">
        <f t="shared" ref="J25" si="21">IF(G25=0,"%",I25/G25-1)</f>
        <v>0</v>
      </c>
      <c r="K25" s="99">
        <f>I25</f>
        <v>252690125</v>
      </c>
      <c r="L25" s="144">
        <f t="shared" ref="L25" si="22">IF(I25=0,"%",K25/I25-1)</f>
        <v>0</v>
      </c>
      <c r="M25" s="99">
        <f>K25</f>
        <v>252690125</v>
      </c>
      <c r="N25" s="144">
        <f t="shared" ref="N25" si="23">IF(K25=0,"%",M25/K25-1)</f>
        <v>0</v>
      </c>
      <c r="O25" s="99">
        <f>M25</f>
        <v>252690125</v>
      </c>
      <c r="P25" s="144">
        <f t="shared" ref="P25" si="24">IF(M25=0,"%",O25/M25-1)</f>
        <v>0</v>
      </c>
      <c r="Q25" s="121" t="str">
        <f t="shared" ref="Q25" si="25">IF(O32=0,"%",O32/B32-1)</f>
        <v>%</v>
      </c>
      <c r="R25" s="150">
        <f t="shared" ref="R25" si="26">IF(B25=0,"%",(O25/B25)^(1/7)-1)</f>
        <v>7.0764757434300662E-3</v>
      </c>
    </row>
    <row r="26" spans="1:18" ht="15" customHeight="1" x14ac:dyDescent="0.2">
      <c r="A26" s="124" t="s">
        <v>129</v>
      </c>
      <c r="B26" s="99">
        <f>B25+B24</f>
        <v>1043509181</v>
      </c>
      <c r="C26" s="99">
        <f>C25+C24</f>
        <v>1111133136.5520005</v>
      </c>
      <c r="D26" s="144">
        <f t="shared" si="2"/>
        <v>6.4804370467729022E-2</v>
      </c>
      <c r="E26" s="99">
        <f>E25+E24</f>
        <v>1131733240.4440246</v>
      </c>
      <c r="F26" s="144">
        <f t="shared" si="3"/>
        <v>1.8539725991746581E-2</v>
      </c>
      <c r="G26" s="99">
        <f>G25+G24</f>
        <v>1157107299.5813453</v>
      </c>
      <c r="H26" s="144">
        <f t="shared" si="3"/>
        <v>2.2420530060039079E-2</v>
      </c>
      <c r="I26" s="99">
        <f>I25+I24</f>
        <v>1159292955.046526</v>
      </c>
      <c r="J26" s="144">
        <f t="shared" si="3"/>
        <v>1.8888960997578419E-3</v>
      </c>
      <c r="K26" s="99">
        <f>K25+K24</f>
        <v>1162213146.1109877</v>
      </c>
      <c r="L26" s="144">
        <f t="shared" si="3"/>
        <v>2.5189414390467402E-3</v>
      </c>
      <c r="M26" s="99">
        <f>M25+M24</f>
        <v>1165209838.2037561</v>
      </c>
      <c r="N26" s="144">
        <f t="shared" si="3"/>
        <v>2.5784358943072849E-3</v>
      </c>
      <c r="O26" s="99">
        <f>O25+O24</f>
        <v>1168284971.1107786</v>
      </c>
      <c r="P26" s="144">
        <f t="shared" si="3"/>
        <v>2.6391237064757878E-3</v>
      </c>
      <c r="Q26" s="121" t="str">
        <f t="shared" si="0"/>
        <v>%</v>
      </c>
      <c r="R26" s="150">
        <f t="shared" si="1"/>
        <v>1.626624820085687E-2</v>
      </c>
    </row>
    <row r="27" spans="1:18" ht="15" customHeight="1" x14ac:dyDescent="0.2">
      <c r="A27" s="83"/>
      <c r="B27" s="46"/>
      <c r="C27" s="400"/>
      <c r="D27" s="145"/>
      <c r="E27" s="46"/>
      <c r="F27" s="145"/>
      <c r="G27" s="46"/>
      <c r="H27" s="145"/>
      <c r="J27" s="145"/>
      <c r="L27" s="145"/>
      <c r="N27" s="145"/>
      <c r="P27" s="145"/>
    </row>
    <row r="28" spans="1:18" ht="15" customHeight="1" x14ac:dyDescent="0.2">
      <c r="A28" s="83"/>
      <c r="B28" s="46"/>
      <c r="C28" s="46"/>
      <c r="D28" s="145"/>
      <c r="E28" s="46"/>
      <c r="F28" s="145"/>
      <c r="G28" s="46"/>
      <c r="H28" s="145"/>
      <c r="J28" s="145"/>
      <c r="L28" s="145"/>
      <c r="N28" s="145"/>
      <c r="P28" s="145"/>
    </row>
    <row r="29" spans="1:18" ht="15" customHeight="1" x14ac:dyDescent="0.2">
      <c r="A29" s="72"/>
      <c r="B29" s="93" t="s">
        <v>95</v>
      </c>
      <c r="C29" s="93" t="s">
        <v>96</v>
      </c>
      <c r="D29" s="143"/>
      <c r="E29" s="93" t="s">
        <v>97</v>
      </c>
      <c r="F29" s="143"/>
      <c r="G29" s="93" t="s">
        <v>98</v>
      </c>
      <c r="H29" s="143"/>
      <c r="J29"/>
      <c r="L29"/>
      <c r="N29"/>
      <c r="P29"/>
    </row>
    <row r="30" spans="1:18" ht="15" customHeight="1" x14ac:dyDescent="0.2">
      <c r="A30" s="84" t="s">
        <v>130</v>
      </c>
      <c r="B30" s="85" t="s">
        <v>131</v>
      </c>
      <c r="C30" s="85" t="s">
        <v>131</v>
      </c>
      <c r="D30" s="148" t="s">
        <v>104</v>
      </c>
      <c r="E30" s="85" t="s">
        <v>131</v>
      </c>
      <c r="F30" s="148" t="s">
        <v>104</v>
      </c>
      <c r="G30" s="85" t="s">
        <v>131</v>
      </c>
      <c r="H30" s="148" t="s">
        <v>104</v>
      </c>
      <c r="J30"/>
      <c r="L30"/>
      <c r="N30"/>
      <c r="P30"/>
    </row>
    <row r="31" spans="1:18" ht="15" customHeight="1" x14ac:dyDescent="0.2">
      <c r="A31" s="98" t="s">
        <v>132</v>
      </c>
      <c r="B31" s="97">
        <v>29727823.441055033</v>
      </c>
      <c r="C31" s="97">
        <v>29147482.073793828</v>
      </c>
      <c r="D31" s="144">
        <f>IF(B31=0,"%",C31/B31-1)</f>
        <v>-1.9521825013927407E-2</v>
      </c>
      <c r="E31" s="97">
        <v>30021906.536007643</v>
      </c>
      <c r="F31" s="144">
        <f>IF(C31=0,"%",E31/C31-1)</f>
        <v>3.0000000000000027E-2</v>
      </c>
      <c r="G31" s="97">
        <v>30922563.732087873</v>
      </c>
      <c r="H31" s="144">
        <f>IF(E31=0,"%",G31/E31-1)</f>
        <v>3.0000000000000027E-2</v>
      </c>
      <c r="J31"/>
      <c r="L31"/>
      <c r="N31"/>
      <c r="P31"/>
    </row>
    <row r="32" spans="1:18" ht="15" customHeight="1" x14ac:dyDescent="0.2">
      <c r="A32" s="98" t="s">
        <v>133</v>
      </c>
      <c r="B32" s="97">
        <v>37055410.48894497</v>
      </c>
      <c r="C32" s="97">
        <v>34480639.926206172</v>
      </c>
      <c r="D32" s="144">
        <f t="shared" ref="D32:D34" si="27">IF(B32=0,"%",C32/B32-1)</f>
        <v>-6.9484335182495194E-2</v>
      </c>
      <c r="E32" s="97">
        <v>35515059.123992361</v>
      </c>
      <c r="F32" s="144">
        <f t="shared" ref="F32:H34" si="28">IF(C32=0,"%",E32/C32-1)</f>
        <v>3.0000000000000027E-2</v>
      </c>
      <c r="G32" s="97">
        <v>36580510.897712134</v>
      </c>
      <c r="H32" s="144">
        <f t="shared" si="28"/>
        <v>3.0000000000000027E-2</v>
      </c>
      <c r="J32"/>
      <c r="L32"/>
      <c r="N32"/>
      <c r="P32"/>
    </row>
    <row r="33" spans="1:16" ht="15" customHeight="1" x14ac:dyDescent="0.2">
      <c r="A33" s="123" t="s">
        <v>134</v>
      </c>
      <c r="B33" s="99">
        <f>B32+B31</f>
        <v>66783233.930000007</v>
      </c>
      <c r="C33" s="99">
        <f>C32+C31</f>
        <v>63628122</v>
      </c>
      <c r="D33" s="144">
        <f t="shared" si="27"/>
        <v>-4.7244072266807158E-2</v>
      </c>
      <c r="E33" s="99">
        <f t="shared" ref="E33:G33" si="29">E32+E31</f>
        <v>65536965.660000004</v>
      </c>
      <c r="F33" s="144">
        <f t="shared" si="28"/>
        <v>3.0000000000000027E-2</v>
      </c>
      <c r="G33" s="99">
        <f t="shared" si="29"/>
        <v>67503074.629800007</v>
      </c>
      <c r="H33" s="144">
        <f t="shared" si="28"/>
        <v>3.0000000000000027E-2</v>
      </c>
      <c r="J33"/>
      <c r="L33"/>
      <c r="N33"/>
      <c r="P33"/>
    </row>
    <row r="34" spans="1:16" ht="15" customHeight="1" x14ac:dyDescent="0.2">
      <c r="A34" s="100" t="s">
        <v>135</v>
      </c>
      <c r="B34" s="97">
        <v>163917765.22299901</v>
      </c>
      <c r="C34" s="97">
        <v>147670136.96000001</v>
      </c>
      <c r="D34" s="144">
        <f t="shared" si="27"/>
        <v>-9.9120606243595422E-2</v>
      </c>
      <c r="E34" s="97">
        <v>152100241.0688</v>
      </c>
      <c r="F34" s="144">
        <f t="shared" si="28"/>
        <v>3.0000000000000027E-2</v>
      </c>
      <c r="G34" s="97">
        <v>156663248.30086401</v>
      </c>
      <c r="H34" s="144">
        <f t="shared" si="28"/>
        <v>3.0000000000000027E-2</v>
      </c>
      <c r="J34"/>
      <c r="L34"/>
      <c r="N34"/>
      <c r="P34"/>
    </row>
    <row r="35" spans="1:16" ht="15" customHeight="1" x14ac:dyDescent="0.2">
      <c r="A35" s="86"/>
      <c r="B35" s="46"/>
      <c r="C35" s="46"/>
      <c r="D35" s="146"/>
      <c r="E35" s="46"/>
      <c r="F35" s="146"/>
      <c r="G35" s="46"/>
      <c r="H35" s="146"/>
      <c r="J35" s="146"/>
      <c r="L35" s="146"/>
      <c r="N35" s="146"/>
      <c r="P35" s="146"/>
    </row>
  </sheetData>
  <sheetProtection selectLockedCells="1"/>
  <mergeCells count="4">
    <mergeCell ref="A2:G2"/>
    <mergeCell ref="A4:A5"/>
    <mergeCell ref="A3:G3"/>
    <mergeCell ref="I3:O3"/>
  </mergeCells>
  <phoneticPr fontId="10" type="noConversion"/>
  <pageMargins left="0.25" right="0.25" top="0.75" bottom="0.75" header="0.3" footer="0.3"/>
  <pageSetup paperSize="17" scale="74" orientation="landscape" r:id="rId1"/>
  <headerFooter alignWithMargins="0"/>
  <ignoredErrors>
    <ignoredError sqref="G16:G20 B20:C2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11"/>
  <sheetViews>
    <sheetView zoomScaleNormal="100" workbookViewId="0"/>
  </sheetViews>
  <sheetFormatPr defaultColWidth="9.140625" defaultRowHeight="12.75" x14ac:dyDescent="0.2"/>
  <cols>
    <col min="1" max="1" width="31.140625" style="8" customWidth="1"/>
    <col min="2" max="5" width="17.5703125" style="8" customWidth="1"/>
    <col min="6" max="8" width="15.5703125" style="8" customWidth="1"/>
    <col min="9" max="9" width="15.5703125" style="132" customWidth="1"/>
    <col min="10" max="10" width="12.85546875" style="8" customWidth="1"/>
    <col min="11" max="11" width="11.5703125" style="8" customWidth="1"/>
    <col min="12" max="12" width="16.140625" style="8" bestFit="1" customWidth="1"/>
    <col min="13" max="14" width="9.140625" style="8"/>
    <col min="15" max="16" width="14.140625" style="8" bestFit="1" customWidth="1"/>
    <col min="17" max="16384" width="9.140625" style="8"/>
  </cols>
  <sheetData>
    <row r="1" spans="1:16" ht="20.100000000000001" customHeight="1" x14ac:dyDescent="0.2">
      <c r="A1" s="47" t="s">
        <v>136</v>
      </c>
      <c r="B1" s="47"/>
      <c r="C1" s="47"/>
      <c r="D1" s="47"/>
      <c r="E1" s="47"/>
    </row>
    <row r="2" spans="1:16" ht="20.100000000000001" customHeight="1" x14ac:dyDescent="0.2">
      <c r="A2" s="469" t="str">
        <f>'Institution ID'!C3</f>
        <v>University of Virginia</v>
      </c>
      <c r="B2" s="469"/>
      <c r="C2" s="469"/>
      <c r="D2" s="469"/>
      <c r="E2" s="469"/>
    </row>
    <row r="3" spans="1:16" s="7" customFormat="1" ht="70.5" customHeight="1" x14ac:dyDescent="0.2">
      <c r="A3" s="477" t="s">
        <v>137</v>
      </c>
      <c r="B3" s="478"/>
      <c r="C3" s="478"/>
      <c r="D3" s="478"/>
      <c r="E3" s="478"/>
      <c r="F3" s="478"/>
      <c r="G3" s="478"/>
      <c r="H3" s="478"/>
      <c r="I3" s="133"/>
    </row>
    <row r="4" spans="1:16" s="7" customFormat="1" ht="41.45" customHeight="1" x14ac:dyDescent="0.2">
      <c r="A4" s="477" t="s">
        <v>138</v>
      </c>
      <c r="B4" s="478"/>
      <c r="C4" s="478"/>
      <c r="D4" s="478"/>
      <c r="E4" s="478"/>
      <c r="F4" s="478"/>
      <c r="G4" s="478"/>
      <c r="H4" s="478"/>
      <c r="I4" s="133"/>
    </row>
    <row r="5" spans="1:16" s="10" customFormat="1" ht="38.1" customHeight="1" x14ac:dyDescent="0.2">
      <c r="A5" s="479" t="s">
        <v>139</v>
      </c>
      <c r="B5" s="480"/>
      <c r="C5" s="480"/>
      <c r="D5" s="480"/>
      <c r="E5" s="480"/>
      <c r="F5" s="480"/>
      <c r="G5" s="480"/>
      <c r="H5" s="480"/>
      <c r="I5" s="134"/>
    </row>
    <row r="6" spans="1:16" s="10" customFormat="1" ht="20.100000000000001" customHeight="1" x14ac:dyDescent="0.3">
      <c r="A6" s="481" t="s">
        <v>140</v>
      </c>
      <c r="B6" s="482"/>
      <c r="C6" s="482"/>
      <c r="D6" s="482"/>
      <c r="E6" s="482"/>
      <c r="F6" s="482"/>
      <c r="G6" s="369"/>
      <c r="H6" s="369"/>
      <c r="I6" s="135"/>
    </row>
    <row r="7" spans="1:16" s="10" customFormat="1" ht="15" customHeight="1" x14ac:dyDescent="0.2">
      <c r="A7" s="460" t="s">
        <v>141</v>
      </c>
      <c r="B7" s="460"/>
      <c r="C7" s="460"/>
      <c r="D7" s="460"/>
      <c r="E7" s="460"/>
      <c r="F7" s="460"/>
      <c r="G7" s="460"/>
      <c r="H7" s="460"/>
      <c r="I7" s="136"/>
    </row>
    <row r="8" spans="1:16" s="10" customFormat="1" ht="15" customHeight="1" x14ac:dyDescent="0.2">
      <c r="A8" s="461" t="s">
        <v>142</v>
      </c>
      <c r="B8" s="463" t="s">
        <v>143</v>
      </c>
      <c r="C8" s="463" t="s">
        <v>144</v>
      </c>
      <c r="D8" s="454" t="s">
        <v>145</v>
      </c>
      <c r="E8" s="463" t="s">
        <v>146</v>
      </c>
      <c r="F8" s="463" t="s">
        <v>147</v>
      </c>
      <c r="G8" s="473" t="s">
        <v>148</v>
      </c>
      <c r="H8" s="474" t="s">
        <v>149</v>
      </c>
      <c r="I8" s="447" t="s">
        <v>150</v>
      </c>
    </row>
    <row r="9" spans="1:16" s="10" customFormat="1" ht="16.350000000000001" customHeight="1" thickBot="1" x14ac:dyDescent="0.25">
      <c r="A9" s="461"/>
      <c r="B9" s="464"/>
      <c r="C9" s="464"/>
      <c r="D9" s="454"/>
      <c r="E9" s="464"/>
      <c r="F9" s="464"/>
      <c r="G9" s="474"/>
      <c r="H9" s="474"/>
      <c r="I9" s="448"/>
    </row>
    <row r="10" spans="1:16" s="10" customFormat="1" ht="16.350000000000001" customHeight="1" x14ac:dyDescent="0.2">
      <c r="A10" s="461"/>
      <c r="B10" s="453"/>
      <c r="C10" s="453"/>
      <c r="D10" s="454"/>
      <c r="E10" s="453"/>
      <c r="F10" s="453"/>
      <c r="G10" s="475"/>
      <c r="H10" s="475"/>
      <c r="I10" s="448"/>
      <c r="J10" s="470" t="s">
        <v>151</v>
      </c>
      <c r="K10" s="457"/>
    </row>
    <row r="11" spans="1:16" s="10" customFormat="1" ht="16.350000000000001" customHeight="1" thickBot="1" x14ac:dyDescent="0.25">
      <c r="A11" s="462"/>
      <c r="B11" s="465"/>
      <c r="C11" s="465"/>
      <c r="D11" s="455"/>
      <c r="E11" s="465"/>
      <c r="F11" s="465"/>
      <c r="G11" s="476"/>
      <c r="H11" s="476"/>
      <c r="I11" s="449"/>
      <c r="J11" s="471" t="s">
        <v>152</v>
      </c>
      <c r="K11" s="459"/>
    </row>
    <row r="12" spans="1:16" s="10" customFormat="1" ht="16.350000000000001" customHeight="1" x14ac:dyDescent="0.2">
      <c r="A12" s="32" t="s">
        <v>110</v>
      </c>
      <c r="B12" s="37">
        <f>+'2-Revenue'!B7</f>
        <v>197520859</v>
      </c>
      <c r="C12" s="33">
        <v>45658894</v>
      </c>
      <c r="D12" s="73">
        <f t="shared" ref="D12:D18" si="0">IF(C12=0,"%",C12/B12)</f>
        <v>0.2311598594252772</v>
      </c>
      <c r="E12" s="33">
        <f t="shared" ref="E12:E17" si="1">C12</f>
        <v>45658894</v>
      </c>
      <c r="F12" s="33">
        <f>0</f>
        <v>0</v>
      </c>
      <c r="G12" s="407">
        <v>2405184</v>
      </c>
      <c r="H12" s="128">
        <f>B12+F12+G12</f>
        <v>199926043</v>
      </c>
      <c r="I12" s="137">
        <f>IF(H12=0,"%",(F12+G12)/H12)</f>
        <v>1.2030368649871193E-2</v>
      </c>
      <c r="J12" s="74">
        <f>(C12+C14+C16)-(E12+E14+E16)</f>
        <v>0</v>
      </c>
      <c r="K12" s="75" t="str">
        <f>IF(J12&gt;0,"WARNING: IS subsidizing OS","Compliant")</f>
        <v>Compliant</v>
      </c>
    </row>
    <row r="13" spans="1:16" s="10" customFormat="1" ht="15" customHeight="1" x14ac:dyDescent="0.2">
      <c r="A13" s="34" t="s">
        <v>111</v>
      </c>
      <c r="B13" s="38">
        <f>+'2-Revenue'!B8</f>
        <v>285282091</v>
      </c>
      <c r="C13" s="33">
        <v>58375690.340000004</v>
      </c>
      <c r="D13" s="73">
        <f t="shared" si="0"/>
        <v>0.20462444780664485</v>
      </c>
      <c r="E13" s="33">
        <f t="shared" si="1"/>
        <v>58375690.340000004</v>
      </c>
      <c r="F13" s="33">
        <f>0</f>
        <v>0</v>
      </c>
      <c r="G13" s="407">
        <v>1068971</v>
      </c>
      <c r="H13" s="129">
        <f t="shared" ref="H13:H17" si="2">B13+F13+G13</f>
        <v>286351062</v>
      </c>
      <c r="I13" s="137">
        <f t="shared" ref="I13:I18" si="3">IF(H13=0,"%",(F13+G13)/H13)</f>
        <v>3.7330785244302674E-3</v>
      </c>
      <c r="K13" s="389"/>
      <c r="O13" s="391"/>
      <c r="P13" s="391"/>
    </row>
    <row r="14" spans="1:16" s="10" customFormat="1" ht="15" customHeight="1" x14ac:dyDescent="0.2">
      <c r="A14" s="34" t="s">
        <v>112</v>
      </c>
      <c r="B14" s="38">
        <f>+'2-Revenue'!B9</f>
        <v>53287150</v>
      </c>
      <c r="C14" s="33">
        <v>6563159.2000000002</v>
      </c>
      <c r="D14" s="73">
        <f t="shared" si="0"/>
        <v>0.12316588896197302</v>
      </c>
      <c r="E14" s="33">
        <f t="shared" si="1"/>
        <v>6563159.2000000002</v>
      </c>
      <c r="F14" s="33">
        <f>0</f>
        <v>0</v>
      </c>
      <c r="G14" s="407">
        <v>106897</v>
      </c>
      <c r="H14" s="129">
        <f t="shared" si="2"/>
        <v>53394047</v>
      </c>
      <c r="I14" s="137">
        <f t="shared" si="3"/>
        <v>2.002039665582944E-3</v>
      </c>
      <c r="K14" s="389"/>
      <c r="O14" s="391"/>
      <c r="P14" s="391"/>
    </row>
    <row r="15" spans="1:16" s="10" customFormat="1" ht="15" customHeight="1" x14ac:dyDescent="0.2">
      <c r="A15" s="34" t="s">
        <v>113</v>
      </c>
      <c r="B15" s="38">
        <f>+'2-Revenue'!B10</f>
        <v>120497930</v>
      </c>
      <c r="C15" s="33">
        <v>58155774.830000006</v>
      </c>
      <c r="D15" s="73">
        <f t="shared" si="0"/>
        <v>0.48262882881058627</v>
      </c>
      <c r="E15" s="33">
        <f t="shared" si="1"/>
        <v>58155774.830000006</v>
      </c>
      <c r="F15" s="33">
        <f>0</f>
        <v>0</v>
      </c>
      <c r="G15" s="407">
        <v>213794</v>
      </c>
      <c r="H15" s="129">
        <f t="shared" si="2"/>
        <v>120711724</v>
      </c>
      <c r="I15" s="137">
        <f>IF(H15=0,"%",(F15+G15)/H15)</f>
        <v>1.7711121415182505E-3</v>
      </c>
      <c r="J15" s="389"/>
      <c r="K15" s="389"/>
      <c r="O15" s="391"/>
      <c r="P15" s="391"/>
    </row>
    <row r="16" spans="1:16" s="10" customFormat="1" ht="15" customHeight="1" x14ac:dyDescent="0.2">
      <c r="A16" s="34" t="s">
        <v>153</v>
      </c>
      <c r="B16" s="38">
        <f>+SUM('2-Revenue'!B11+'2-Revenue'!B13+'2-Revenue'!B15+'2-Revenue'!B17+'2-Revenue'!B19)</f>
        <v>29139256</v>
      </c>
      <c r="C16" s="33">
        <v>1991900</v>
      </c>
      <c r="D16" s="73">
        <f t="shared" si="0"/>
        <v>6.8357956702806685E-2</v>
      </c>
      <c r="E16" s="33">
        <f t="shared" si="1"/>
        <v>1991900</v>
      </c>
      <c r="F16" s="33">
        <f>0</f>
        <v>0</v>
      </c>
      <c r="G16" s="407">
        <v>534485</v>
      </c>
      <c r="H16" s="129">
        <f t="shared" si="2"/>
        <v>29673741</v>
      </c>
      <c r="I16" s="137">
        <f t="shared" si="3"/>
        <v>1.8012053148270049E-2</v>
      </c>
      <c r="O16" s="391"/>
      <c r="P16" s="391"/>
    </row>
    <row r="17" spans="1:12" s="10" customFormat="1" ht="15" customHeight="1" x14ac:dyDescent="0.2">
      <c r="A17" s="35" t="s">
        <v>154</v>
      </c>
      <c r="B17" s="38">
        <f>+SUM('2-Revenue'!B12+'2-Revenue'!B14+'2-Revenue'!B16+'2-Revenue'!B18+'2-Revenue'!B20)</f>
        <v>69593239</v>
      </c>
      <c r="C17" s="33">
        <v>7371705</v>
      </c>
      <c r="D17" s="76">
        <f t="shared" si="0"/>
        <v>0.10592559142131608</v>
      </c>
      <c r="E17" s="33">
        <f t="shared" si="1"/>
        <v>7371705</v>
      </c>
      <c r="F17" s="33">
        <f>0</f>
        <v>0</v>
      </c>
      <c r="G17" s="407">
        <v>1015522</v>
      </c>
      <c r="H17" s="130">
        <f t="shared" si="2"/>
        <v>70608761</v>
      </c>
      <c r="I17" s="137">
        <f t="shared" si="3"/>
        <v>1.4382379546356861E-2</v>
      </c>
    </row>
    <row r="18" spans="1:12" s="10" customFormat="1" ht="15" customHeight="1" thickBot="1" x14ac:dyDescent="0.25">
      <c r="A18" s="36" t="s">
        <v>155</v>
      </c>
      <c r="B18" s="39">
        <f>SUM(B12:B17)</f>
        <v>755320525</v>
      </c>
      <c r="C18" s="39">
        <f t="shared" ref="C18:G18" si="4">SUM(C12:C17)</f>
        <v>178117123.37</v>
      </c>
      <c r="D18" s="77">
        <f t="shared" si="0"/>
        <v>0.23581660695636467</v>
      </c>
      <c r="E18" s="39">
        <f t="shared" si="4"/>
        <v>178117123.37</v>
      </c>
      <c r="F18" s="39">
        <f t="shared" si="4"/>
        <v>0</v>
      </c>
      <c r="G18" s="39">
        <f t="shared" si="4"/>
        <v>5344853</v>
      </c>
      <c r="H18" s="131">
        <f t="shared" ref="H18" si="5">SUM(H12:H17)</f>
        <v>760665378</v>
      </c>
      <c r="I18" s="138">
        <f t="shared" si="3"/>
        <v>7.0265495901142483E-3</v>
      </c>
    </row>
    <row r="19" spans="1:12" s="10" customFormat="1" ht="15" customHeight="1" x14ac:dyDescent="0.2">
      <c r="A19" s="472"/>
      <c r="B19" s="472"/>
      <c r="C19" s="472"/>
      <c r="D19" s="472"/>
      <c r="E19" s="472"/>
      <c r="I19" s="139"/>
    </row>
    <row r="20" spans="1:12" s="10" customFormat="1" ht="15" customHeight="1" x14ac:dyDescent="0.2">
      <c r="A20" s="460" t="s">
        <v>156</v>
      </c>
      <c r="B20" s="460"/>
      <c r="C20" s="460"/>
      <c r="D20" s="460"/>
      <c r="E20" s="460"/>
      <c r="F20" s="460"/>
      <c r="G20" s="460"/>
      <c r="H20" s="460"/>
      <c r="I20" s="136"/>
    </row>
    <row r="21" spans="1:12" ht="15" customHeight="1" x14ac:dyDescent="0.2">
      <c r="A21" s="461" t="s">
        <v>142</v>
      </c>
      <c r="B21" s="463" t="s">
        <v>143</v>
      </c>
      <c r="C21" s="463" t="s">
        <v>144</v>
      </c>
      <c r="D21" s="454" t="s">
        <v>145</v>
      </c>
      <c r="E21" s="463" t="s">
        <v>146</v>
      </c>
      <c r="F21" s="463" t="s">
        <v>147</v>
      </c>
      <c r="G21" s="463" t="s">
        <v>148</v>
      </c>
      <c r="H21" s="464" t="s">
        <v>149</v>
      </c>
      <c r="I21" s="447" t="s">
        <v>150</v>
      </c>
    </row>
    <row r="22" spans="1:12" s="10" customFormat="1" ht="15" customHeight="1" thickBot="1" x14ac:dyDescent="0.25">
      <c r="A22" s="461"/>
      <c r="B22" s="464"/>
      <c r="C22" s="464"/>
      <c r="D22" s="454"/>
      <c r="E22" s="464"/>
      <c r="F22" s="464"/>
      <c r="G22" s="464"/>
      <c r="H22" s="464"/>
      <c r="I22" s="448"/>
    </row>
    <row r="23" spans="1:12" s="10" customFormat="1" ht="16.350000000000001" customHeight="1" x14ac:dyDescent="0.2">
      <c r="A23" s="461"/>
      <c r="B23" s="453"/>
      <c r="C23" s="453"/>
      <c r="D23" s="454"/>
      <c r="E23" s="453"/>
      <c r="F23" s="453"/>
      <c r="G23" s="453"/>
      <c r="H23" s="453"/>
      <c r="I23" s="448"/>
      <c r="J23" s="456" t="s">
        <v>151</v>
      </c>
      <c r="K23" s="457"/>
    </row>
    <row r="24" spans="1:12" s="10" customFormat="1" ht="16.350000000000001" customHeight="1" thickBot="1" x14ac:dyDescent="0.25">
      <c r="A24" s="462"/>
      <c r="B24" s="465"/>
      <c r="C24" s="465"/>
      <c r="D24" s="455"/>
      <c r="E24" s="465"/>
      <c r="F24" s="465"/>
      <c r="G24" s="465"/>
      <c r="H24" s="465"/>
      <c r="I24" s="449"/>
      <c r="J24" s="458" t="s">
        <v>152</v>
      </c>
      <c r="K24" s="459"/>
    </row>
    <row r="25" spans="1:12" s="10" customFormat="1" ht="16.350000000000001" customHeight="1" x14ac:dyDescent="0.2">
      <c r="A25" s="32" t="s">
        <v>110</v>
      </c>
      <c r="B25" s="37">
        <f>+'2-Revenue'!C7</f>
        <v>203337860.38761696</v>
      </c>
      <c r="C25" s="33">
        <v>50864397.461250611</v>
      </c>
      <c r="D25" s="73">
        <f t="shared" ref="D25:D31" si="6">IF(C25=0,"%",C25/B25)</f>
        <v>0.25014720507184107</v>
      </c>
      <c r="E25" s="33">
        <f t="shared" ref="E25:E30" si="7">C25</f>
        <v>50864397.461250611</v>
      </c>
      <c r="F25" s="33">
        <f>0</f>
        <v>0</v>
      </c>
      <c r="G25" s="33">
        <v>3027655.9026800003</v>
      </c>
      <c r="H25" s="80">
        <f>B25+F25+G25</f>
        <v>206365516.29029697</v>
      </c>
      <c r="I25" s="137">
        <f>IF(H25=0,"%",(F25+G25)/H25)</f>
        <v>1.4671326668845965E-2</v>
      </c>
      <c r="J25" s="74">
        <f>(C25+C27+C29)-(E25+E27+E29)</f>
        <v>0</v>
      </c>
      <c r="K25" s="75" t="str">
        <f>IF(J25&gt;0,"WARNING: IS subsidizing OS","Compliant")</f>
        <v>Compliant</v>
      </c>
      <c r="L25" s="394"/>
    </row>
    <row r="26" spans="1:12" s="10" customFormat="1" ht="16.350000000000001" customHeight="1" x14ac:dyDescent="0.2">
      <c r="A26" s="34" t="s">
        <v>111</v>
      </c>
      <c r="B26" s="38">
        <f>+'2-Revenue'!C8</f>
        <v>301197014.28810298</v>
      </c>
      <c r="C26" s="33">
        <v>66540778.124469385</v>
      </c>
      <c r="D26" s="73">
        <f t="shared" si="6"/>
        <v>0.22092110800547762</v>
      </c>
      <c r="E26" s="33">
        <f t="shared" si="7"/>
        <v>66540778.124469385</v>
      </c>
      <c r="F26" s="33">
        <f>0</f>
        <v>0</v>
      </c>
      <c r="G26" s="33">
        <v>1316372.1316000002</v>
      </c>
      <c r="H26" s="81">
        <f t="shared" ref="H26:H30" si="8">B26+F26+G26</f>
        <v>302513386.41970301</v>
      </c>
      <c r="I26" s="137">
        <f t="shared" ref="I26:I31" si="9">IF(H26=0,"%",(F26+G26)/H26)</f>
        <v>4.3514508471161773E-3</v>
      </c>
      <c r="K26" s="389"/>
    </row>
    <row r="27" spans="1:12" s="10" customFormat="1" ht="15" customHeight="1" x14ac:dyDescent="0.2">
      <c r="A27" s="34" t="s">
        <v>112</v>
      </c>
      <c r="B27" s="38">
        <f>+'2-Revenue'!C9</f>
        <v>52504557.983001404</v>
      </c>
      <c r="C27" s="33">
        <v>6162956.2443920588</v>
      </c>
      <c r="D27" s="73">
        <f t="shared" si="6"/>
        <v>0.11737945201609629</v>
      </c>
      <c r="E27" s="33">
        <f t="shared" si="7"/>
        <v>6162956.2443920588</v>
      </c>
      <c r="F27" s="33">
        <f>0</f>
        <v>0</v>
      </c>
      <c r="G27" s="33">
        <v>131637.21316000001</v>
      </c>
      <c r="H27" s="81">
        <f t="shared" si="8"/>
        <v>52636195.196161404</v>
      </c>
      <c r="I27" s="137">
        <f t="shared" si="9"/>
        <v>2.5008877003632646E-3</v>
      </c>
      <c r="K27" s="78"/>
      <c r="L27" s="395"/>
    </row>
    <row r="28" spans="1:12" s="10" customFormat="1" ht="15" customHeight="1" x14ac:dyDescent="0.2">
      <c r="A28" s="34" t="s">
        <v>113</v>
      </c>
      <c r="B28" s="38">
        <f>+'2-Revenue'!C10</f>
        <v>135898581.87751901</v>
      </c>
      <c r="C28" s="33">
        <v>55143374.49122972</v>
      </c>
      <c r="D28" s="73">
        <f t="shared" si="6"/>
        <v>0.40576857925514381</v>
      </c>
      <c r="E28" s="33">
        <f t="shared" si="7"/>
        <v>55143374.49122972</v>
      </c>
      <c r="F28" s="33">
        <f>0</f>
        <v>0</v>
      </c>
      <c r="G28" s="33">
        <v>263274.42632000003</v>
      </c>
      <c r="H28" s="81">
        <f t="shared" si="8"/>
        <v>136161856.303839</v>
      </c>
      <c r="I28" s="137">
        <f t="shared" si="9"/>
        <v>1.9335402253367866E-3</v>
      </c>
      <c r="J28" s="78"/>
      <c r="K28" s="78"/>
    </row>
    <row r="29" spans="1:12" s="10" customFormat="1" ht="15" customHeight="1" x14ac:dyDescent="0.2">
      <c r="A29" s="34" t="s">
        <v>153</v>
      </c>
      <c r="B29" s="38">
        <f>+SUM('2-Revenue'!C11+'2-Revenue'!C13+'2-Revenue'!C15+'2-Revenue'!C17+'2-Revenue'!C19)</f>
        <v>29909059.9342</v>
      </c>
      <c r="C29" s="33">
        <v>1505055.9802395632</v>
      </c>
      <c r="D29" s="73">
        <f t="shared" si="6"/>
        <v>5.0321072730159011E-2</v>
      </c>
      <c r="E29" s="33">
        <f t="shared" si="7"/>
        <v>1505055.9802395632</v>
      </c>
      <c r="F29" s="33">
        <f>0</f>
        <v>0</v>
      </c>
      <c r="G29" s="33">
        <v>658186.0658000001</v>
      </c>
      <c r="H29" s="81">
        <f t="shared" si="8"/>
        <v>30567246</v>
      </c>
      <c r="I29" s="137">
        <f t="shared" si="9"/>
        <v>2.153239666406323E-2</v>
      </c>
      <c r="K29" s="78"/>
    </row>
    <row r="30" spans="1:12" s="10" customFormat="1" ht="15" customHeight="1" thickBot="1" x14ac:dyDescent="0.25">
      <c r="A30" s="35" t="s">
        <v>154</v>
      </c>
      <c r="B30" s="38">
        <f>+SUM('2-Revenue'!C12+'2-Revenue'!C14+'2-Revenue'!C16+'2-Revenue'!C18+'2-Revenue'!C20)</f>
        <v>73971311.081560001</v>
      </c>
      <c r="C30" s="33">
        <v>6309391.0404186677</v>
      </c>
      <c r="D30" s="76">
        <f t="shared" si="6"/>
        <v>8.529510898437366E-2</v>
      </c>
      <c r="E30" s="33">
        <f t="shared" si="7"/>
        <v>6309391.0404186677</v>
      </c>
      <c r="F30" s="33">
        <f>0</f>
        <v>0</v>
      </c>
      <c r="G30" s="33">
        <v>1184734.9184400002</v>
      </c>
      <c r="H30" s="82">
        <f t="shared" si="8"/>
        <v>75156046</v>
      </c>
      <c r="I30" s="137">
        <f t="shared" si="9"/>
        <v>1.5763667482453777E-2</v>
      </c>
    </row>
    <row r="31" spans="1:12" s="10" customFormat="1" ht="15" customHeight="1" thickBot="1" x14ac:dyDescent="0.25">
      <c r="A31" s="36" t="s">
        <v>155</v>
      </c>
      <c r="B31" s="41">
        <f>SUM(B25:B30)</f>
        <v>796818385.5520004</v>
      </c>
      <c r="C31" s="41">
        <f t="shared" ref="C31:H31" si="10">SUM(C25:C30)</f>
        <v>186525953.34200001</v>
      </c>
      <c r="D31" s="77">
        <f t="shared" si="6"/>
        <v>0.23408841553371426</v>
      </c>
      <c r="E31" s="41">
        <f t="shared" si="10"/>
        <v>186525953.34200001</v>
      </c>
      <c r="F31" s="39">
        <f t="shared" si="10"/>
        <v>0</v>
      </c>
      <c r="G31" s="39">
        <f t="shared" si="10"/>
        <v>6581860.6579999998</v>
      </c>
      <c r="H31" s="79">
        <f t="shared" si="10"/>
        <v>803400246.2100004</v>
      </c>
      <c r="I31" s="138">
        <f t="shared" si="9"/>
        <v>8.1925051542485715E-3</v>
      </c>
    </row>
    <row r="32" spans="1:12" s="10" customFormat="1" ht="15" customHeight="1" x14ac:dyDescent="0.2">
      <c r="A32" s="468"/>
      <c r="B32" s="468"/>
      <c r="C32" s="468"/>
      <c r="D32" s="468"/>
      <c r="E32" s="468"/>
      <c r="G32" s="390"/>
      <c r="I32" s="139"/>
    </row>
    <row r="33" spans="1:12" s="10" customFormat="1" ht="15" customHeight="1" x14ac:dyDescent="0.2">
      <c r="A33" s="460" t="s">
        <v>157</v>
      </c>
      <c r="B33" s="460"/>
      <c r="C33" s="460"/>
      <c r="D33" s="460"/>
      <c r="E33" s="460"/>
      <c r="F33" s="460"/>
      <c r="G33" s="460"/>
      <c r="H33" s="460"/>
      <c r="I33" s="136"/>
    </row>
    <row r="34" spans="1:12" ht="15" customHeight="1" x14ac:dyDescent="0.2">
      <c r="A34" s="461" t="s">
        <v>142</v>
      </c>
      <c r="B34" s="463" t="s">
        <v>143</v>
      </c>
      <c r="C34" s="463" t="s">
        <v>144</v>
      </c>
      <c r="D34" s="454" t="s">
        <v>145</v>
      </c>
      <c r="E34" s="463" t="s">
        <v>146</v>
      </c>
      <c r="F34" s="463" t="s">
        <v>147</v>
      </c>
      <c r="G34" s="463" t="s">
        <v>148</v>
      </c>
      <c r="H34" s="464" t="s">
        <v>149</v>
      </c>
      <c r="I34" s="447" t="s">
        <v>150</v>
      </c>
    </row>
    <row r="35" spans="1:12" ht="12.6" customHeight="1" thickBot="1" x14ac:dyDescent="0.25">
      <c r="A35" s="461"/>
      <c r="B35" s="464"/>
      <c r="C35" s="464"/>
      <c r="D35" s="454"/>
      <c r="E35" s="464"/>
      <c r="F35" s="464"/>
      <c r="G35" s="464"/>
      <c r="H35" s="464"/>
      <c r="I35" s="448"/>
      <c r="J35" s="10"/>
    </row>
    <row r="36" spans="1:12" s="10" customFormat="1" ht="15" customHeight="1" x14ac:dyDescent="0.2">
      <c r="A36" s="461"/>
      <c r="B36" s="453"/>
      <c r="C36" s="453"/>
      <c r="D36" s="454"/>
      <c r="E36" s="453"/>
      <c r="F36" s="453"/>
      <c r="G36" s="453"/>
      <c r="H36" s="453"/>
      <c r="I36" s="448"/>
      <c r="J36" s="456" t="s">
        <v>151</v>
      </c>
      <c r="K36" s="457"/>
    </row>
    <row r="37" spans="1:12" s="10" customFormat="1" ht="16.350000000000001" customHeight="1" thickBot="1" x14ac:dyDescent="0.25">
      <c r="A37" s="462"/>
      <c r="B37" s="465"/>
      <c r="C37" s="465"/>
      <c r="D37" s="455"/>
      <c r="E37" s="465"/>
      <c r="F37" s="465"/>
      <c r="G37" s="465"/>
      <c r="H37" s="465"/>
      <c r="I37" s="449"/>
      <c r="J37" s="458" t="s">
        <v>152</v>
      </c>
      <c r="K37" s="459"/>
    </row>
    <row r="38" spans="1:12" s="10" customFormat="1" ht="16.350000000000001" customHeight="1" x14ac:dyDescent="0.2">
      <c r="A38" s="32" t="s">
        <v>110</v>
      </c>
      <c r="B38" s="37">
        <f>+'2-Revenue'!E7</f>
        <v>208962708.40928549</v>
      </c>
      <c r="C38" s="33">
        <v>54434206.757406279</v>
      </c>
      <c r="D38" s="73">
        <f t="shared" ref="D38:D44" si="11">IF(C38=0,"%",C38/B38)</f>
        <v>0.26049723020812182</v>
      </c>
      <c r="E38" s="33">
        <f t="shared" ref="E38:E43" si="12">C38</f>
        <v>54434206.757406279</v>
      </c>
      <c r="F38" s="33">
        <f>0</f>
        <v>0</v>
      </c>
      <c r="G38" s="33">
        <v>3593773.3697204003</v>
      </c>
      <c r="H38" s="80">
        <f>B38+F38+G38</f>
        <v>212556481.77900589</v>
      </c>
      <c r="I38" s="137">
        <f>IF(H38=0,"%",(F38+G38)/H38)</f>
        <v>1.6907380756597354E-2</v>
      </c>
      <c r="J38" s="74">
        <f>(C38+C40+C42)-(E38+E40+E42)</f>
        <v>0</v>
      </c>
      <c r="K38" s="75" t="str">
        <f>IF(J38&gt;0,"WARNING: IS subsidizing OS","Compliant")</f>
        <v>Compliant</v>
      </c>
      <c r="L38" s="394"/>
    </row>
    <row r="39" spans="1:12" s="10" customFormat="1" ht="16.350000000000001" customHeight="1" x14ac:dyDescent="0.2">
      <c r="A39" s="34" t="s">
        <v>111</v>
      </c>
      <c r="B39" s="40">
        <f>+'2-Revenue'!E8</f>
        <v>308996277.85154611</v>
      </c>
      <c r="C39" s="33">
        <v>71551151.090725332</v>
      </c>
      <c r="D39" s="73">
        <f t="shared" si="11"/>
        <v>0.2315599125925436</v>
      </c>
      <c r="E39" s="33">
        <f t="shared" si="12"/>
        <v>71551151.090725332</v>
      </c>
      <c r="F39" s="33">
        <f>0</f>
        <v>0</v>
      </c>
      <c r="G39" s="33">
        <v>1562510.1607480003</v>
      </c>
      <c r="H39" s="81">
        <f t="shared" ref="H39:H43" si="13">B39+F39+G39</f>
        <v>310558788.01229411</v>
      </c>
      <c r="I39" s="137">
        <f t="shared" ref="I39:I43" si="14">IF(H39=0,"%",(F39+G39)/H39)</f>
        <v>5.0312862525923596E-3</v>
      </c>
      <c r="K39" s="389"/>
    </row>
    <row r="40" spans="1:12" s="10" customFormat="1" ht="16.350000000000001" customHeight="1" x14ac:dyDescent="0.2">
      <c r="A40" s="34" t="s">
        <v>112</v>
      </c>
      <c r="B40" s="40">
        <f>+'2-Revenue'!E9</f>
        <v>51999030.035971485</v>
      </c>
      <c r="C40" s="33">
        <v>6327180.245203821</v>
      </c>
      <c r="D40" s="73">
        <f t="shared" si="11"/>
        <v>0.12167881287067958</v>
      </c>
      <c r="E40" s="33">
        <f t="shared" si="12"/>
        <v>6327180.245203821</v>
      </c>
      <c r="F40" s="33">
        <f>0</f>
        <v>0</v>
      </c>
      <c r="G40" s="33">
        <v>156251.01607480002</v>
      </c>
      <c r="H40" s="81">
        <f t="shared" si="13"/>
        <v>52155281.052046284</v>
      </c>
      <c r="I40" s="137">
        <f t="shared" si="14"/>
        <v>2.9958810099954317E-3</v>
      </c>
      <c r="K40" s="389"/>
      <c r="L40" s="396"/>
    </row>
    <row r="41" spans="1:12" s="10" customFormat="1" ht="15" customHeight="1" x14ac:dyDescent="0.2">
      <c r="A41" s="34" t="s">
        <v>113</v>
      </c>
      <c r="B41" s="40">
        <f>+'2-Revenue'!E10</f>
        <v>139017557.3408041</v>
      </c>
      <c r="C41" s="33">
        <v>56756346.352926612</v>
      </c>
      <c r="D41" s="73">
        <f t="shared" si="11"/>
        <v>0.40826746950953385</v>
      </c>
      <c r="E41" s="33">
        <f t="shared" si="12"/>
        <v>56756346.352926612</v>
      </c>
      <c r="F41" s="33">
        <f>0</f>
        <v>0</v>
      </c>
      <c r="G41" s="33">
        <v>312502.03214960004</v>
      </c>
      <c r="H41" s="81">
        <f t="shared" si="13"/>
        <v>139330059.37295371</v>
      </c>
      <c r="I41" s="137">
        <f t="shared" si="14"/>
        <v>2.2428902532303225E-3</v>
      </c>
      <c r="J41" s="389"/>
      <c r="K41" s="389"/>
    </row>
    <row r="42" spans="1:12" s="10" customFormat="1" ht="15" customHeight="1" x14ac:dyDescent="0.2">
      <c r="A42" s="34" t="s">
        <v>153</v>
      </c>
      <c r="B42" s="38">
        <f>+SUM('2-Revenue'!E11+'2-Revenue'!E13+'2-Revenue'!E15+'2-Revenue'!E17+'2-Revenue'!E19)</f>
        <v>30703008.299626</v>
      </c>
      <c r="C42" s="33">
        <v>1446884.2270467503</v>
      </c>
      <c r="D42" s="73">
        <f t="shared" si="11"/>
        <v>4.7125161577876232E-2</v>
      </c>
      <c r="E42" s="33">
        <f t="shared" si="12"/>
        <v>1446884.2270467503</v>
      </c>
      <c r="F42" s="33">
        <f>0</f>
        <v>0</v>
      </c>
      <c r="G42" s="33">
        <v>781255.08037400013</v>
      </c>
      <c r="H42" s="81">
        <f t="shared" si="13"/>
        <v>31484263.379999999</v>
      </c>
      <c r="I42" s="137">
        <f t="shared" si="14"/>
        <v>2.4814145115755925E-2</v>
      </c>
      <c r="K42" s="389"/>
    </row>
    <row r="43" spans="1:12" s="10" customFormat="1" ht="15" customHeight="1" thickBot="1" x14ac:dyDescent="0.25">
      <c r="A43" s="35" t="s">
        <v>154</v>
      </c>
      <c r="B43" s="38">
        <f>+SUM('2-Revenue'!E12+'2-Revenue'!E14+'2-Revenue'!E16+'2-Revenue'!E18+'2-Revenue'!E20)</f>
        <v>76004468.235326797</v>
      </c>
      <c r="C43" s="33">
        <v>6312690.5929512288</v>
      </c>
      <c r="D43" s="399">
        <f t="shared" si="11"/>
        <v>8.3056835203500531E-2</v>
      </c>
      <c r="E43" s="33">
        <f t="shared" si="12"/>
        <v>6312690.5929512288</v>
      </c>
      <c r="F43" s="33">
        <f>0</f>
        <v>0</v>
      </c>
      <c r="G43" s="33">
        <v>1406259.1446732001</v>
      </c>
      <c r="H43" s="82">
        <f t="shared" si="13"/>
        <v>77410727.379999995</v>
      </c>
      <c r="I43" s="137">
        <f t="shared" si="14"/>
        <v>1.8166205024402398E-2</v>
      </c>
    </row>
    <row r="44" spans="1:12" s="10" customFormat="1" ht="15" customHeight="1" thickBot="1" x14ac:dyDescent="0.25">
      <c r="A44" s="36" t="s">
        <v>155</v>
      </c>
      <c r="B44" s="41">
        <f>SUM(B38:B43)</f>
        <v>815683050.17255998</v>
      </c>
      <c r="C44" s="41">
        <f t="shared" ref="C44:H44" si="15">SUM(C38:C43)</f>
        <v>196828459.26626006</v>
      </c>
      <c r="D44" s="77">
        <f t="shared" si="11"/>
        <v>0.2413050745931529</v>
      </c>
      <c r="E44" s="41">
        <f t="shared" si="15"/>
        <v>196828459.26626006</v>
      </c>
      <c r="F44" s="39">
        <f t="shared" si="15"/>
        <v>0</v>
      </c>
      <c r="G44" s="39">
        <f t="shared" si="15"/>
        <v>7812550.8037400004</v>
      </c>
      <c r="H44" s="79">
        <f t="shared" si="15"/>
        <v>823495600.9763</v>
      </c>
      <c r="I44" s="138">
        <f>IF(H44=0,"%",(F44+G44)/H44)</f>
        <v>9.4870583333751691E-3</v>
      </c>
      <c r="J44" s="78"/>
      <c r="K44" s="78"/>
    </row>
    <row r="45" spans="1:12" s="10" customFormat="1" ht="15" customHeight="1" x14ac:dyDescent="0.2">
      <c r="A45" s="466"/>
      <c r="B45" s="466"/>
      <c r="C45" s="466"/>
      <c r="D45" s="466"/>
      <c r="E45" s="466"/>
      <c r="I45" s="139"/>
    </row>
    <row r="46" spans="1:12" s="10" customFormat="1" ht="15" customHeight="1" x14ac:dyDescent="0.2">
      <c r="A46" s="460" t="s">
        <v>158</v>
      </c>
      <c r="B46" s="460"/>
      <c r="C46" s="460"/>
      <c r="D46" s="460"/>
      <c r="E46" s="460"/>
      <c r="F46" s="460"/>
      <c r="G46" s="460"/>
      <c r="H46" s="460"/>
      <c r="I46" s="136"/>
    </row>
    <row r="47" spans="1:12" ht="15" customHeight="1" x14ac:dyDescent="0.2">
      <c r="A47" s="461" t="s">
        <v>142</v>
      </c>
      <c r="B47" s="463" t="s">
        <v>143</v>
      </c>
      <c r="C47" s="463" t="s">
        <v>144</v>
      </c>
      <c r="D47" s="454" t="s">
        <v>145</v>
      </c>
      <c r="E47" s="463" t="s">
        <v>146</v>
      </c>
      <c r="F47" s="463" t="s">
        <v>147</v>
      </c>
      <c r="G47" s="463" t="s">
        <v>148</v>
      </c>
      <c r="H47" s="464" t="s">
        <v>149</v>
      </c>
      <c r="I47" s="447" t="s">
        <v>150</v>
      </c>
    </row>
    <row r="48" spans="1:12" ht="15" customHeight="1" thickBot="1" x14ac:dyDescent="0.25">
      <c r="A48" s="461"/>
      <c r="B48" s="464"/>
      <c r="C48" s="464"/>
      <c r="D48" s="454"/>
      <c r="E48" s="464"/>
      <c r="F48" s="464"/>
      <c r="G48" s="464"/>
      <c r="H48" s="464"/>
      <c r="I48" s="448"/>
      <c r="J48" s="10"/>
    </row>
    <row r="49" spans="1:12" ht="15" customHeight="1" x14ac:dyDescent="0.2">
      <c r="A49" s="461"/>
      <c r="B49" s="453"/>
      <c r="C49" s="453"/>
      <c r="D49" s="454"/>
      <c r="E49" s="453"/>
      <c r="F49" s="453"/>
      <c r="G49" s="453"/>
      <c r="H49" s="453"/>
      <c r="I49" s="448"/>
      <c r="J49" s="456" t="s">
        <v>151</v>
      </c>
      <c r="K49" s="457"/>
    </row>
    <row r="50" spans="1:12" ht="15" customHeight="1" thickBot="1" x14ac:dyDescent="0.25">
      <c r="A50" s="462"/>
      <c r="B50" s="465"/>
      <c r="C50" s="465"/>
      <c r="D50" s="455"/>
      <c r="E50" s="465"/>
      <c r="F50" s="465"/>
      <c r="G50" s="465"/>
      <c r="H50" s="465"/>
      <c r="I50" s="449"/>
      <c r="J50" s="458" t="s">
        <v>152</v>
      </c>
      <c r="K50" s="459"/>
    </row>
    <row r="51" spans="1:12" ht="15" x14ac:dyDescent="0.2">
      <c r="A51" s="32" t="s">
        <v>110</v>
      </c>
      <c r="B51" s="37">
        <f>+'2-Revenue'!G7</f>
        <v>214772861.87160406</v>
      </c>
      <c r="C51" s="33">
        <v>56850980.436244294</v>
      </c>
      <c r="D51" s="73">
        <f t="shared" ref="D51:D57" si="16">IF(C51=0,"%",C51/B51)</f>
        <v>0.26470281180231731</v>
      </c>
      <c r="E51" s="33">
        <f t="shared" ref="E51:E56" si="17">C51</f>
        <v>56850980.436244294</v>
      </c>
      <c r="F51" s="33">
        <f>0</f>
        <v>0</v>
      </c>
      <c r="G51" s="33">
        <v>4160314.3607720123</v>
      </c>
      <c r="H51" s="80">
        <f>B51+F51+G51</f>
        <v>218933176.23237607</v>
      </c>
      <c r="I51" s="137">
        <f>IF(H51=0,"%",(F51+G51)/H51)</f>
        <v>1.900266753703992E-2</v>
      </c>
      <c r="J51" s="74">
        <f>(C51+C53+C55)-(E51+E53+E55)</f>
        <v>0</v>
      </c>
      <c r="K51" s="75" t="str">
        <f>IF(J51&gt;0,"WARNING: IS subsidizing OS","Compliant")</f>
        <v>Compliant</v>
      </c>
      <c r="L51" s="394"/>
    </row>
    <row r="52" spans="1:12" ht="15" x14ac:dyDescent="0.2">
      <c r="A52" s="34" t="s">
        <v>111</v>
      </c>
      <c r="B52" s="40">
        <f>+'2-Revenue'!G8</f>
        <v>318066719.3218925</v>
      </c>
      <c r="C52" s="33">
        <v>75086765.002171248</v>
      </c>
      <c r="D52" s="73">
        <f t="shared" si="16"/>
        <v>0.23607237236971443</v>
      </c>
      <c r="E52" s="33">
        <f t="shared" si="17"/>
        <v>75086765.002171248</v>
      </c>
      <c r="F52" s="33">
        <f>0</f>
        <v>0</v>
      </c>
      <c r="G52" s="33">
        <v>1808832.3307704402</v>
      </c>
      <c r="H52" s="81">
        <f t="shared" ref="H52:H56" si="18">B52+F52+G52</f>
        <v>319875551.65266293</v>
      </c>
      <c r="I52" s="137">
        <f t="shared" ref="I52:I57" si="19">IF(H52=0,"%",(F52+G52)/H52)</f>
        <v>5.6548001915900153E-3</v>
      </c>
      <c r="J52" s="392"/>
      <c r="K52" s="389"/>
    </row>
    <row r="53" spans="1:12" ht="15" x14ac:dyDescent="0.2">
      <c r="A53" s="34" t="s">
        <v>112</v>
      </c>
      <c r="B53" s="40">
        <f>+'2-Revenue'!G9</f>
        <v>53539056.25053063</v>
      </c>
      <c r="C53" s="33">
        <v>6497050.9660399361</v>
      </c>
      <c r="D53" s="73">
        <f t="shared" si="16"/>
        <v>0.12135161545690382</v>
      </c>
      <c r="E53" s="33">
        <f t="shared" si="17"/>
        <v>6497050.9660399361</v>
      </c>
      <c r="F53" s="33">
        <f>0</f>
        <v>0</v>
      </c>
      <c r="G53" s="33">
        <v>180883.23307704402</v>
      </c>
      <c r="H53" s="81">
        <f t="shared" si="18"/>
        <v>53719939.483607672</v>
      </c>
      <c r="I53" s="137">
        <f t="shared" si="19"/>
        <v>3.3671525846048185E-3</v>
      </c>
      <c r="J53" s="392"/>
      <c r="K53" s="389"/>
      <c r="L53" s="396"/>
    </row>
    <row r="54" spans="1:12" ht="15" x14ac:dyDescent="0.2">
      <c r="A54" s="34" t="s">
        <v>113</v>
      </c>
      <c r="B54" s="40">
        <f>+'2-Revenue'!G10</f>
        <v>143148194.68798822</v>
      </c>
      <c r="C54" s="33">
        <v>58419147.370474413</v>
      </c>
      <c r="D54" s="73">
        <f t="shared" si="16"/>
        <v>0.40810257857465282</v>
      </c>
      <c r="E54" s="33">
        <f t="shared" si="17"/>
        <v>58419147.370474413</v>
      </c>
      <c r="F54" s="33">
        <f>0</f>
        <v>0</v>
      </c>
      <c r="G54" s="33">
        <v>361766.46615408803</v>
      </c>
      <c r="H54" s="81">
        <f t="shared" si="18"/>
        <v>143509961.15414232</v>
      </c>
      <c r="I54" s="137">
        <f t="shared" si="19"/>
        <v>2.5208456837746548E-3</v>
      </c>
      <c r="J54" s="389"/>
      <c r="K54" s="389"/>
    </row>
    <row r="55" spans="1:12" ht="15" x14ac:dyDescent="0.2">
      <c r="A55" s="34" t="s">
        <v>153</v>
      </c>
      <c r="B55" s="38">
        <f>+SUM('2-Revenue'!G11+'2-Revenue'!G13+'2-Revenue'!G15+'2-Revenue'!G17+'2-Revenue'!G19)</f>
        <v>31524375.116014782</v>
      </c>
      <c r="C55" s="33">
        <v>1390567.3212581528</v>
      </c>
      <c r="D55" s="73">
        <f t="shared" si="16"/>
        <v>4.4110860759036169E-2</v>
      </c>
      <c r="E55" s="33">
        <f t="shared" si="17"/>
        <v>1390567.3212581528</v>
      </c>
      <c r="F55" s="33">
        <f>0</f>
        <v>0</v>
      </c>
      <c r="G55" s="33">
        <v>904416.16538522008</v>
      </c>
      <c r="H55" s="81">
        <f t="shared" si="18"/>
        <v>32428791.281400003</v>
      </c>
      <c r="I55" s="137">
        <f t="shared" si="19"/>
        <v>2.7889296197849994E-2</v>
      </c>
      <c r="J55" s="392"/>
      <c r="K55" s="389"/>
    </row>
    <row r="56" spans="1:12" ht="15.75" thickBot="1" x14ac:dyDescent="0.25">
      <c r="A56" s="35" t="s">
        <v>154</v>
      </c>
      <c r="B56" s="38">
        <f>+SUM('2-Revenue'!G12+'2-Revenue'!G14+'2-Revenue'!G16+'2-Revenue'!G18+'2-Revenue'!G20)</f>
        <v>78105100.103706598</v>
      </c>
      <c r="C56" s="33">
        <v>6322569.132059766</v>
      </c>
      <c r="D56" s="399">
        <f t="shared" si="16"/>
        <v>8.0949504240629203E-2</v>
      </c>
      <c r="E56" s="33">
        <f t="shared" si="17"/>
        <v>6322569.132059766</v>
      </c>
      <c r="F56" s="33">
        <f>0</f>
        <v>0</v>
      </c>
      <c r="G56" s="33">
        <v>1627949.097693396</v>
      </c>
      <c r="H56" s="82">
        <f t="shared" si="18"/>
        <v>79733049.201399997</v>
      </c>
      <c r="I56" s="137">
        <f t="shared" si="19"/>
        <v>2.0417494552118692E-2</v>
      </c>
    </row>
    <row r="57" spans="1:12" ht="15.75" thickBot="1" x14ac:dyDescent="0.25">
      <c r="A57" s="36" t="s">
        <v>155</v>
      </c>
      <c r="B57" s="41">
        <f>SUM(B51:B56)</f>
        <v>839156307.3517369</v>
      </c>
      <c r="C57" s="41">
        <f t="shared" ref="C57:H57" si="20">SUM(C51:C56)</f>
        <v>204567080.22824779</v>
      </c>
      <c r="D57" s="77">
        <f t="shared" si="16"/>
        <v>0.24377708710053514</v>
      </c>
      <c r="E57" s="41">
        <f t="shared" si="20"/>
        <v>204567080.22824779</v>
      </c>
      <c r="F57" s="39">
        <f t="shared" si="20"/>
        <v>0</v>
      </c>
      <c r="G57" s="39">
        <f t="shared" si="20"/>
        <v>9044161.6538522001</v>
      </c>
      <c r="H57" s="79">
        <f t="shared" si="20"/>
        <v>848200469.00558901</v>
      </c>
      <c r="I57" s="138">
        <f t="shared" si="19"/>
        <v>1.0662764268988639E-2</v>
      </c>
      <c r="J57" s="78"/>
    </row>
    <row r="58" spans="1:12" ht="15" x14ac:dyDescent="0.2">
      <c r="A58" s="153"/>
      <c r="B58" s="154"/>
      <c r="C58" s="154"/>
      <c r="D58" s="155"/>
      <c r="E58" s="154"/>
      <c r="F58" s="156"/>
      <c r="G58" s="156"/>
      <c r="H58" s="156"/>
      <c r="I58" s="157"/>
      <c r="J58" s="78"/>
    </row>
    <row r="59" spans="1:12" ht="15.75" x14ac:dyDescent="0.2">
      <c r="A59" s="460" t="s">
        <v>159</v>
      </c>
      <c r="B59" s="460"/>
      <c r="C59" s="460"/>
      <c r="D59" s="460"/>
      <c r="E59" s="460"/>
      <c r="F59" s="460"/>
      <c r="G59" s="460"/>
      <c r="H59" s="460"/>
      <c r="I59" s="136"/>
      <c r="J59" s="10"/>
      <c r="K59" s="10"/>
    </row>
    <row r="60" spans="1:12" ht="12.75" customHeight="1" x14ac:dyDescent="0.2">
      <c r="A60" s="461" t="s">
        <v>142</v>
      </c>
      <c r="B60" s="463" t="s">
        <v>143</v>
      </c>
      <c r="C60" s="463" t="s">
        <v>144</v>
      </c>
      <c r="D60" s="454" t="s">
        <v>145</v>
      </c>
      <c r="E60" s="463" t="s">
        <v>146</v>
      </c>
      <c r="F60" s="463" t="s">
        <v>147</v>
      </c>
      <c r="G60" s="463" t="s">
        <v>148</v>
      </c>
      <c r="H60" s="464" t="s">
        <v>149</v>
      </c>
      <c r="I60" s="447" t="s">
        <v>150</v>
      </c>
    </row>
    <row r="61" spans="1:12" ht="13.5" customHeight="1" thickBot="1" x14ac:dyDescent="0.25">
      <c r="A61" s="461"/>
      <c r="B61" s="464"/>
      <c r="C61" s="464"/>
      <c r="D61" s="454"/>
      <c r="E61" s="464"/>
      <c r="F61" s="464"/>
      <c r="G61" s="464"/>
      <c r="H61" s="464"/>
      <c r="I61" s="448"/>
      <c r="J61" s="10"/>
    </row>
    <row r="62" spans="1:12" ht="12.75" customHeight="1" x14ac:dyDescent="0.2">
      <c r="A62" s="461"/>
      <c r="B62" s="453"/>
      <c r="C62" s="453"/>
      <c r="D62" s="454"/>
      <c r="E62" s="453"/>
      <c r="F62" s="453"/>
      <c r="G62" s="453"/>
      <c r="H62" s="453"/>
      <c r="I62" s="448"/>
      <c r="J62" s="456" t="s">
        <v>151</v>
      </c>
      <c r="K62" s="457"/>
    </row>
    <row r="63" spans="1:12" ht="19.5" customHeight="1" thickBot="1" x14ac:dyDescent="0.25">
      <c r="A63" s="462"/>
      <c r="B63" s="465"/>
      <c r="C63" s="465"/>
      <c r="D63" s="455"/>
      <c r="E63" s="465"/>
      <c r="F63" s="465"/>
      <c r="G63" s="465"/>
      <c r="H63" s="465"/>
      <c r="I63" s="449"/>
      <c r="J63" s="458" t="s">
        <v>152</v>
      </c>
      <c r="K63" s="459"/>
    </row>
    <row r="64" spans="1:12" ht="15" x14ac:dyDescent="0.2">
      <c r="A64" s="32" t="s">
        <v>110</v>
      </c>
      <c r="B64" s="37">
        <f>+'2-Revenue'!I7</f>
        <v>215352325.26960528</v>
      </c>
      <c r="C64" s="33">
        <v>59358528.719007097</v>
      </c>
      <c r="D64" s="73">
        <f t="shared" ref="D64:D70" si="21">IF(C64=0,"%",C64/B64)</f>
        <v>0.27563449173207016</v>
      </c>
      <c r="E64" s="33">
        <f t="shared" ref="E64:E69" si="22">C64</f>
        <v>59358528.719007097</v>
      </c>
      <c r="F64" s="33">
        <f>0</f>
        <v>0</v>
      </c>
      <c r="G64" s="33">
        <v>4727291.5815551737</v>
      </c>
      <c r="H64" s="80">
        <f>B64+F64+G64</f>
        <v>220079616.85116047</v>
      </c>
      <c r="I64" s="137">
        <f>IF(H64=0,"%",(F64+G64)/H64)</f>
        <v>2.1479915537803915E-2</v>
      </c>
      <c r="J64" s="74">
        <f>(C64+C66+C68)-(E64+E66+E68)</f>
        <v>0</v>
      </c>
      <c r="K64" s="75" t="str">
        <f>IF(J64&gt;0,"WARNING: IS subsidizing OS","Compliant")</f>
        <v>Compliant</v>
      </c>
      <c r="L64" s="394"/>
    </row>
    <row r="65" spans="1:12" ht="15" x14ac:dyDescent="0.2">
      <c r="A65" s="34" t="s">
        <v>111</v>
      </c>
      <c r="B65" s="37">
        <f>+'2-Revenue'!I8</f>
        <v>312926588.97268015</v>
      </c>
      <c r="C65" s="33">
        <v>78737835.377400935</v>
      </c>
      <c r="D65" s="73">
        <f t="shared" si="21"/>
        <v>0.25161759387686639</v>
      </c>
      <c r="E65" s="33">
        <f t="shared" si="22"/>
        <v>78737835.377400935</v>
      </c>
      <c r="F65" s="33">
        <f>0</f>
        <v>0</v>
      </c>
      <c r="G65" s="33">
        <v>2055344.1658935538</v>
      </c>
      <c r="H65" s="81">
        <f t="shared" ref="H65:H69" si="23">B65+F65+G65</f>
        <v>314981933.13857371</v>
      </c>
      <c r="I65" s="137">
        <f t="shared" ref="I65:I70" si="24">IF(H65=0,"%",(F65+G65)/H65)</f>
        <v>6.525276371928678E-3</v>
      </c>
      <c r="J65" s="392"/>
      <c r="K65" s="389"/>
    </row>
    <row r="66" spans="1:12" ht="15" x14ac:dyDescent="0.2">
      <c r="A66" s="34" t="s">
        <v>112</v>
      </c>
      <c r="B66" s="37">
        <f>+'2-Revenue'!I9</f>
        <v>54832814.177835338</v>
      </c>
      <c r="C66" s="33">
        <v>6556873.5054642912</v>
      </c>
      <c r="D66" s="73">
        <f t="shared" si="21"/>
        <v>0.11957937238455157</v>
      </c>
      <c r="E66" s="33">
        <f t="shared" si="22"/>
        <v>6556873.5054642912</v>
      </c>
      <c r="F66" s="33">
        <f>0</f>
        <v>0</v>
      </c>
      <c r="G66" s="33">
        <v>205534.41658935536</v>
      </c>
      <c r="H66" s="81">
        <f t="shared" si="23"/>
        <v>55038348.594424695</v>
      </c>
      <c r="I66" s="137">
        <f t="shared" si="24"/>
        <v>3.7343856027354659E-3</v>
      </c>
      <c r="J66" s="392"/>
      <c r="K66" s="389"/>
      <c r="L66" s="397"/>
    </row>
    <row r="67" spans="1:12" ht="15" x14ac:dyDescent="0.2">
      <c r="A67" s="34" t="s">
        <v>113</v>
      </c>
      <c r="B67" s="37">
        <f>+'2-Revenue'!I10</f>
        <v>146674312.31535375</v>
      </c>
      <c r="C67" s="33">
        <v>59106605.51730305</v>
      </c>
      <c r="D67" s="73">
        <f t="shared" si="21"/>
        <v>0.40297857603192472</v>
      </c>
      <c r="E67" s="33">
        <f t="shared" si="22"/>
        <v>59106605.51730305</v>
      </c>
      <c r="F67" s="33">
        <f>0</f>
        <v>0</v>
      </c>
      <c r="G67" s="33">
        <v>411068.83317871072</v>
      </c>
      <c r="H67" s="81">
        <f t="shared" si="23"/>
        <v>147085381.14853245</v>
      </c>
      <c r="I67" s="137">
        <f t="shared" si="24"/>
        <v>2.7947633542425108E-3</v>
      </c>
      <c r="J67" s="389"/>
      <c r="K67" s="389"/>
    </row>
    <row r="68" spans="1:12" ht="15" x14ac:dyDescent="0.2">
      <c r="A68" s="34" t="s">
        <v>153</v>
      </c>
      <c r="B68" s="38">
        <f>+SUM('2-Revenue'!I11+'2-Revenue'!I13+'2-Revenue'!I15+'2-Revenue'!I17+'2-Revenue'!I19)</f>
        <v>31468259.553073101</v>
      </c>
      <c r="C68" s="33">
        <v>1300996.4245181631</v>
      </c>
      <c r="D68" s="73">
        <f t="shared" si="21"/>
        <v>4.1343132508614114E-2</v>
      </c>
      <c r="E68" s="33">
        <f t="shared" si="22"/>
        <v>1300996.4245181631</v>
      </c>
      <c r="F68" s="33">
        <f>0</f>
        <v>0</v>
      </c>
      <c r="G68" s="33">
        <v>1027672.0829467769</v>
      </c>
      <c r="H68" s="81">
        <f t="shared" si="23"/>
        <v>32495931.636019878</v>
      </c>
      <c r="I68" s="137">
        <f t="shared" si="24"/>
        <v>3.1624638261106543E-2</v>
      </c>
      <c r="J68" s="392"/>
      <c r="K68" s="389"/>
    </row>
    <row r="69" spans="1:12" ht="15.75" thickBot="1" x14ac:dyDescent="0.25">
      <c r="A69" s="35" t="s">
        <v>154</v>
      </c>
      <c r="B69" s="38">
        <f>+SUM('2-Revenue'!I12+'2-Revenue'!I14+'2-Revenue'!I16+'2-Revenue'!I18+'2-Revenue'!I20)</f>
        <v>78129836.511481583</v>
      </c>
      <c r="C69" s="33">
        <v>6209085.8673502225</v>
      </c>
      <c r="D69" s="399">
        <f t="shared" si="21"/>
        <v>7.9471379239834522E-2</v>
      </c>
      <c r="E69" s="33">
        <f t="shared" si="22"/>
        <v>6209085.8673502225</v>
      </c>
      <c r="F69" s="33">
        <f>0</f>
        <v>0</v>
      </c>
      <c r="G69" s="33">
        <v>1849809.7493041982</v>
      </c>
      <c r="H69" s="82">
        <f t="shared" si="23"/>
        <v>79979646.260785788</v>
      </c>
      <c r="I69" s="137">
        <f t="shared" si="24"/>
        <v>2.3128506261113138E-2</v>
      </c>
    </row>
    <row r="70" spans="1:12" ht="15.75" thickBot="1" x14ac:dyDescent="0.25">
      <c r="A70" s="36" t="s">
        <v>155</v>
      </c>
      <c r="B70" s="41">
        <f>SUM(B64:B69)</f>
        <v>839384136.80002904</v>
      </c>
      <c r="C70" s="41">
        <f t="shared" ref="C70" si="25">SUM(C64:C69)</f>
        <v>211269925.41104376</v>
      </c>
      <c r="D70" s="77">
        <f t="shared" si="21"/>
        <v>0.25169635229999077</v>
      </c>
      <c r="E70" s="41">
        <f t="shared" ref="E70:H70" si="26">SUM(E64:E69)</f>
        <v>211269925.41104376</v>
      </c>
      <c r="F70" s="39">
        <f t="shared" si="26"/>
        <v>0</v>
      </c>
      <c r="G70" s="39">
        <f t="shared" si="26"/>
        <v>10276720.829467768</v>
      </c>
      <c r="H70" s="79">
        <f t="shared" si="26"/>
        <v>849660857.62949693</v>
      </c>
      <c r="I70" s="138">
        <f t="shared" si="24"/>
        <v>1.2095085629976183E-2</v>
      </c>
      <c r="J70" s="78"/>
    </row>
    <row r="71" spans="1:12" ht="15" x14ac:dyDescent="0.2">
      <c r="A71" s="153"/>
      <c r="B71" s="154"/>
      <c r="C71" s="154"/>
      <c r="D71" s="155"/>
      <c r="E71" s="154"/>
      <c r="F71" s="156"/>
      <c r="G71" s="156"/>
      <c r="H71" s="156"/>
      <c r="I71" s="157"/>
      <c r="J71" s="78"/>
    </row>
    <row r="72" spans="1:12" ht="12.75" customHeight="1" x14ac:dyDescent="0.2">
      <c r="A72" s="460" t="s">
        <v>160</v>
      </c>
      <c r="B72" s="460"/>
      <c r="C72" s="460"/>
      <c r="D72" s="460"/>
      <c r="E72" s="460"/>
      <c r="F72" s="460"/>
      <c r="G72" s="460"/>
      <c r="H72" s="460"/>
      <c r="I72" s="136"/>
      <c r="J72" s="10"/>
      <c r="K72" s="10"/>
    </row>
    <row r="73" spans="1:12" ht="13.5" customHeight="1" x14ac:dyDescent="0.2">
      <c r="A73" s="461" t="s">
        <v>142</v>
      </c>
      <c r="B73" s="463" t="s">
        <v>143</v>
      </c>
      <c r="C73" s="463" t="s">
        <v>144</v>
      </c>
      <c r="D73" s="454" t="s">
        <v>145</v>
      </c>
      <c r="E73" s="463" t="s">
        <v>146</v>
      </c>
      <c r="F73" s="463" t="s">
        <v>147</v>
      </c>
      <c r="G73" s="463" t="s">
        <v>148</v>
      </c>
      <c r="H73" s="464" t="s">
        <v>149</v>
      </c>
      <c r="I73" s="447" t="s">
        <v>150</v>
      </c>
    </row>
    <row r="74" spans="1:12" ht="13.5" customHeight="1" thickBot="1" x14ac:dyDescent="0.25">
      <c r="A74" s="461"/>
      <c r="B74" s="464"/>
      <c r="C74" s="464"/>
      <c r="D74" s="454"/>
      <c r="E74" s="464"/>
      <c r="F74" s="464"/>
      <c r="G74" s="464"/>
      <c r="H74" s="464"/>
      <c r="I74" s="448"/>
      <c r="J74" s="10"/>
    </row>
    <row r="75" spans="1:12" ht="12.75" customHeight="1" x14ac:dyDescent="0.2">
      <c r="A75" s="461"/>
      <c r="B75" s="453"/>
      <c r="C75" s="453"/>
      <c r="D75" s="454"/>
      <c r="E75" s="453"/>
      <c r="F75" s="453"/>
      <c r="G75" s="453"/>
      <c r="H75" s="453"/>
      <c r="I75" s="448"/>
      <c r="J75" s="456" t="s">
        <v>151</v>
      </c>
      <c r="K75" s="457"/>
    </row>
    <row r="76" spans="1:12" ht="22.5" customHeight="1" thickBot="1" x14ac:dyDescent="0.25">
      <c r="A76" s="462"/>
      <c r="B76" s="465"/>
      <c r="C76" s="465"/>
      <c r="D76" s="455"/>
      <c r="E76" s="465"/>
      <c r="F76" s="465"/>
      <c r="G76" s="465"/>
      <c r="H76" s="465"/>
      <c r="I76" s="449"/>
      <c r="J76" s="458" t="s">
        <v>152</v>
      </c>
      <c r="K76" s="459"/>
    </row>
    <row r="77" spans="1:12" ht="15" x14ac:dyDescent="0.2">
      <c r="A77" s="32" t="s">
        <v>110</v>
      </c>
      <c r="B77" s="37">
        <f>+'2-Revenue'!K7</f>
        <v>214821880.68764326</v>
      </c>
      <c r="C77" s="33">
        <v>61959577.784321018</v>
      </c>
      <c r="D77" s="73">
        <f t="shared" ref="D77:D83" si="27">IF(C77=0,"%",C77/B77)</f>
        <v>0.28842303021456134</v>
      </c>
      <c r="E77" s="33">
        <f t="shared" ref="E77:E82" si="28">C77</f>
        <v>61959577.784321018</v>
      </c>
      <c r="F77" s="33">
        <f>0</f>
        <v>0</v>
      </c>
      <c r="G77" s="33">
        <v>5294718.1189618288</v>
      </c>
      <c r="H77" s="80">
        <f>B77+F77+G77</f>
        <v>220116598.8066051</v>
      </c>
      <c r="I77" s="137">
        <f>IF(H77=0,"%",(F77+G77)/H77)</f>
        <v>2.4054151970673412E-2</v>
      </c>
      <c r="J77" s="74">
        <f>(C77+C79+C81)-(E77+E79+E81)</f>
        <v>0</v>
      </c>
      <c r="K77" s="75" t="str">
        <f>IF(J77&gt;0,"WARNING: IS subsidizing OS","Compliant")</f>
        <v>Compliant</v>
      </c>
      <c r="L77" s="394"/>
    </row>
    <row r="78" spans="1:12" ht="15" x14ac:dyDescent="0.2">
      <c r="A78" s="34" t="s">
        <v>111</v>
      </c>
      <c r="B78" s="37">
        <f>+'2-Revenue'!K8</f>
        <v>312739560.05706549</v>
      </c>
      <c r="C78" s="33">
        <v>82507829.669819251</v>
      </c>
      <c r="D78" s="73">
        <f t="shared" si="27"/>
        <v>0.26382281043934469</v>
      </c>
      <c r="E78" s="33">
        <f t="shared" si="28"/>
        <v>82507829.669819251</v>
      </c>
      <c r="F78" s="33">
        <f>0</f>
        <v>0</v>
      </c>
      <c r="G78" s="33">
        <v>2302051.3560703602</v>
      </c>
      <c r="H78" s="81">
        <f t="shared" ref="H78:H82" si="29">B78+F78+G78</f>
        <v>315041611.41313583</v>
      </c>
      <c r="I78" s="137">
        <f t="shared" ref="I78:I83" si="30">IF(H78=0,"%",(F78+G78)/H78)</f>
        <v>7.3071342726581008E-3</v>
      </c>
      <c r="J78" s="392"/>
      <c r="K78" s="389"/>
    </row>
    <row r="79" spans="1:12" ht="15" x14ac:dyDescent="0.2">
      <c r="A79" s="34" t="s">
        <v>112</v>
      </c>
      <c r="B79" s="37">
        <f>+'2-Revenue'!K9</f>
        <v>55415030.192368351</v>
      </c>
      <c r="C79" s="33">
        <v>6614410.6285169944</v>
      </c>
      <c r="D79" s="73">
        <f t="shared" si="27"/>
        <v>0.11936131056061246</v>
      </c>
      <c r="E79" s="33">
        <f t="shared" si="28"/>
        <v>6614410.6285169944</v>
      </c>
      <c r="F79" s="33">
        <f>0</f>
        <v>0</v>
      </c>
      <c r="G79" s="33">
        <v>230205.13560703603</v>
      </c>
      <c r="H79" s="81">
        <f t="shared" si="29"/>
        <v>55645235.327975385</v>
      </c>
      <c r="I79" s="137">
        <f t="shared" si="30"/>
        <v>4.1370143238715256E-3</v>
      </c>
      <c r="J79" s="392"/>
      <c r="K79" s="389"/>
      <c r="L79" s="397"/>
    </row>
    <row r="80" spans="1:12" ht="15" x14ac:dyDescent="0.2">
      <c r="A80" s="34" t="s">
        <v>113</v>
      </c>
      <c r="B80" s="37">
        <f>+'2-Revenue'!K10</f>
        <v>147827051.73750129</v>
      </c>
      <c r="C80" s="33">
        <v>59773594.065484956</v>
      </c>
      <c r="D80" s="73">
        <f t="shared" si="27"/>
        <v>0.40434814442234712</v>
      </c>
      <c r="E80" s="33">
        <f t="shared" si="28"/>
        <v>59773594.065484956</v>
      </c>
      <c r="F80" s="33">
        <f>0</f>
        <v>0</v>
      </c>
      <c r="G80" s="33">
        <v>460410.27121407207</v>
      </c>
      <c r="H80" s="81">
        <f t="shared" si="29"/>
        <v>148287462.00871536</v>
      </c>
      <c r="I80" s="137">
        <f t="shared" si="30"/>
        <v>3.1048496277251828E-3</v>
      </c>
      <c r="J80" s="389"/>
      <c r="K80" s="389"/>
    </row>
    <row r="81" spans="1:12" ht="15" x14ac:dyDescent="0.2">
      <c r="A81" s="34" t="s">
        <v>153</v>
      </c>
      <c r="B81" s="38">
        <f>+SUM('2-Revenue'!K11+'2-Revenue'!K13+'2-Revenue'!K15+'2-Revenue'!K17+'2-Revenue'!K19)</f>
        <v>31412046.312604573</v>
      </c>
      <c r="C81" s="33">
        <v>1210881.5865480395</v>
      </c>
      <c r="D81" s="73">
        <f t="shared" si="27"/>
        <v>3.8548319154303373E-2</v>
      </c>
      <c r="E81" s="33">
        <f t="shared" si="28"/>
        <v>1210881.5865480395</v>
      </c>
      <c r="F81" s="33">
        <f>0</f>
        <v>0</v>
      </c>
      <c r="G81" s="33">
        <v>1151025.6780351801</v>
      </c>
      <c r="H81" s="81">
        <f t="shared" si="29"/>
        <v>32563071.990639754</v>
      </c>
      <c r="I81" s="137">
        <f t="shared" si="30"/>
        <v>3.534757649296854E-2</v>
      </c>
      <c r="J81" s="392"/>
      <c r="K81" s="389"/>
    </row>
    <row r="82" spans="1:12" ht="15.75" thickBot="1" x14ac:dyDescent="0.25">
      <c r="A82" s="35" t="s">
        <v>154</v>
      </c>
      <c r="B82" s="38">
        <f>+SUM('2-Revenue'!K12+'2-Revenue'!K14+'2-Revenue'!K16+'2-Revenue'!K18+'2-Revenue'!K20)</f>
        <v>78072198.079912961</v>
      </c>
      <c r="C82" s="33">
        <v>6093286.66664261</v>
      </c>
      <c r="D82" s="399">
        <f t="shared" si="27"/>
        <v>7.804681841294718E-2</v>
      </c>
      <c r="E82" s="33">
        <f t="shared" si="28"/>
        <v>6093286.66664261</v>
      </c>
      <c r="F82" s="33">
        <f>0</f>
        <v>0</v>
      </c>
      <c r="G82" s="33">
        <v>2071846.2204633241</v>
      </c>
      <c r="H82" s="82">
        <f t="shared" si="29"/>
        <v>80144044.300376281</v>
      </c>
      <c r="I82" s="137">
        <f t="shared" si="30"/>
        <v>2.5851530685151568E-2</v>
      </c>
    </row>
    <row r="83" spans="1:12" ht="15.75" thickBot="1" x14ac:dyDescent="0.25">
      <c r="A83" s="36" t="s">
        <v>155</v>
      </c>
      <c r="B83" s="41">
        <f>SUM(B77:B82)</f>
        <v>840287767.06709599</v>
      </c>
      <c r="C83" s="41">
        <f t="shared" ref="C83" si="31">SUM(C77:C82)</f>
        <v>218159580.40133286</v>
      </c>
      <c r="D83" s="77">
        <f t="shared" si="27"/>
        <v>0.25962484395409874</v>
      </c>
      <c r="E83" s="41">
        <f t="shared" ref="E83:H83" si="32">SUM(E77:E82)</f>
        <v>218159580.40133286</v>
      </c>
      <c r="F83" s="39">
        <f t="shared" si="32"/>
        <v>0</v>
      </c>
      <c r="G83" s="39">
        <f t="shared" si="32"/>
        <v>11510256.780351801</v>
      </c>
      <c r="H83" s="79">
        <f t="shared" si="32"/>
        <v>851798023.84744775</v>
      </c>
      <c r="I83" s="138">
        <f t="shared" si="30"/>
        <v>1.3512894439883349E-2</v>
      </c>
      <c r="J83" s="78"/>
    </row>
    <row r="84" spans="1:12" ht="15" x14ac:dyDescent="0.2">
      <c r="A84" s="153"/>
      <c r="B84" s="154"/>
      <c r="C84" s="154"/>
      <c r="D84" s="155"/>
      <c r="E84" s="154"/>
      <c r="F84" s="156"/>
      <c r="G84" s="156"/>
      <c r="H84" s="156"/>
      <c r="I84" s="157"/>
      <c r="J84" s="78"/>
    </row>
    <row r="85" spans="1:12" ht="15.75" x14ac:dyDescent="0.2">
      <c r="A85" s="460" t="s">
        <v>161</v>
      </c>
      <c r="B85" s="460"/>
      <c r="C85" s="460"/>
      <c r="D85" s="460"/>
      <c r="E85" s="460"/>
      <c r="F85" s="460"/>
      <c r="G85" s="460"/>
      <c r="H85" s="460"/>
      <c r="I85" s="136"/>
      <c r="J85" s="78"/>
    </row>
    <row r="86" spans="1:12" ht="12.75" customHeight="1" x14ac:dyDescent="0.2">
      <c r="A86" s="461" t="s">
        <v>142</v>
      </c>
      <c r="B86" s="463" t="s">
        <v>143</v>
      </c>
      <c r="C86" s="463" t="s">
        <v>144</v>
      </c>
      <c r="D86" s="454" t="s">
        <v>145</v>
      </c>
      <c r="E86" s="463" t="s">
        <v>146</v>
      </c>
      <c r="F86" s="463" t="s">
        <v>147</v>
      </c>
      <c r="G86" s="463" t="s">
        <v>148</v>
      </c>
      <c r="H86" s="464" t="s">
        <v>149</v>
      </c>
      <c r="I86" s="447" t="s">
        <v>150</v>
      </c>
      <c r="J86" s="78"/>
    </row>
    <row r="87" spans="1:12" ht="12.75" customHeight="1" x14ac:dyDescent="0.2">
      <c r="A87" s="461"/>
      <c r="B87" s="464"/>
      <c r="C87" s="464"/>
      <c r="D87" s="454"/>
      <c r="E87" s="464"/>
      <c r="F87" s="464"/>
      <c r="G87" s="464"/>
      <c r="H87" s="464"/>
      <c r="I87" s="448"/>
      <c r="J87" s="78"/>
    </row>
    <row r="88" spans="1:12" ht="12.75" customHeight="1" x14ac:dyDescent="0.2">
      <c r="A88" s="461"/>
      <c r="B88" s="453"/>
      <c r="C88" s="453"/>
      <c r="D88" s="454"/>
      <c r="E88" s="453"/>
      <c r="F88" s="453"/>
      <c r="G88" s="453"/>
      <c r="H88" s="453"/>
      <c r="I88" s="448"/>
      <c r="J88" s="78"/>
    </row>
    <row r="89" spans="1:12" ht="21.75" customHeight="1" thickBot="1" x14ac:dyDescent="0.25">
      <c r="A89" s="462"/>
      <c r="B89" s="465"/>
      <c r="C89" s="465"/>
      <c r="D89" s="455"/>
      <c r="E89" s="465"/>
      <c r="F89" s="465"/>
      <c r="G89" s="465"/>
      <c r="H89" s="465"/>
      <c r="I89" s="449"/>
      <c r="J89" s="78"/>
    </row>
    <row r="90" spans="1:12" ht="15" x14ac:dyDescent="0.2">
      <c r="A90" s="32" t="s">
        <v>110</v>
      </c>
      <c r="B90" s="37">
        <f>+'2-Revenue'!M7</f>
        <v>214290979.52396932</v>
      </c>
      <c r="C90" s="33">
        <v>62915054.716104947</v>
      </c>
      <c r="D90" s="73">
        <f t="shared" ref="D90:D96" si="33">IF(C90=0,"%",C90/B90)</f>
        <v>0.29359637468579325</v>
      </c>
      <c r="E90" s="33">
        <f t="shared" ref="E90:E95" si="34">C90</f>
        <v>62915054.716104947</v>
      </c>
      <c r="F90" s="33">
        <f>0</f>
        <v>0</v>
      </c>
      <c r="G90" s="33">
        <v>5862607.4524906836</v>
      </c>
      <c r="H90" s="80">
        <f>B90+F90+G90</f>
        <v>220153586.97646001</v>
      </c>
      <c r="I90" s="137">
        <f>IF(H90=0,"%",(F90+G90)/H90)</f>
        <v>2.662962494959278E-2</v>
      </c>
      <c r="J90" s="389"/>
      <c r="K90" s="393"/>
      <c r="L90" s="394"/>
    </row>
    <row r="91" spans="1:12" ht="15" x14ac:dyDescent="0.2">
      <c r="A91" s="34" t="s">
        <v>111</v>
      </c>
      <c r="B91" s="37">
        <f>+'2-Revenue'!M8</f>
        <v>312552341.23273194</v>
      </c>
      <c r="C91" s="33">
        <v>84173294.346499518</v>
      </c>
      <c r="D91" s="73">
        <f t="shared" si="33"/>
        <v>0.26930943474783514</v>
      </c>
      <c r="E91" s="33">
        <f t="shared" si="34"/>
        <v>84173294.346499518</v>
      </c>
      <c r="F91" s="33">
        <f>0</f>
        <v>0</v>
      </c>
      <c r="G91" s="33">
        <v>2548959.761952471</v>
      </c>
      <c r="H91" s="81">
        <f t="shared" ref="H91:H95" si="35">B91+F91+G91</f>
        <v>315101300.9946844</v>
      </c>
      <c r="I91" s="137">
        <f t="shared" ref="I91:I96" si="36">IF(H91=0,"%",(F91+G91)/H91)</f>
        <v>8.0893342994971338E-3</v>
      </c>
      <c r="J91" s="392"/>
      <c r="K91" s="389"/>
    </row>
    <row r="92" spans="1:12" ht="15" x14ac:dyDescent="0.2">
      <c r="A92" s="34" t="s">
        <v>112</v>
      </c>
      <c r="B92" s="37">
        <f>+'2-Revenue'!M9</f>
        <v>56003917.992278725</v>
      </c>
      <c r="C92" s="33">
        <v>6659377.8515877044</v>
      </c>
      <c r="D92" s="73">
        <f t="shared" si="33"/>
        <v>0.11890914225868687</v>
      </c>
      <c r="E92" s="33">
        <f t="shared" si="34"/>
        <v>6659377.8515877044</v>
      </c>
      <c r="F92" s="33">
        <f>0</f>
        <v>0</v>
      </c>
      <c r="G92" s="33">
        <v>254895.97619524712</v>
      </c>
      <c r="H92" s="81">
        <f t="shared" si="35"/>
        <v>56258813.968473971</v>
      </c>
      <c r="I92" s="137">
        <f t="shared" si="36"/>
        <v>4.5307740816947269E-3</v>
      </c>
      <c r="J92" s="392"/>
      <c r="K92" s="389"/>
      <c r="L92" s="396"/>
    </row>
    <row r="93" spans="1:12" ht="15" x14ac:dyDescent="0.2">
      <c r="A93" s="34" t="s">
        <v>113</v>
      </c>
      <c r="B93" s="37">
        <f>+'2-Revenue'!M10</f>
        <v>148989575.13141707</v>
      </c>
      <c r="C93" s="33">
        <v>60328976.239710882</v>
      </c>
      <c r="D93" s="73">
        <f t="shared" si="33"/>
        <v>0.40492078849474789</v>
      </c>
      <c r="E93" s="33">
        <f t="shared" si="34"/>
        <v>60328976.239710882</v>
      </c>
      <c r="F93" s="33">
        <f>0</f>
        <v>0</v>
      </c>
      <c r="G93" s="33">
        <v>509791.95239049423</v>
      </c>
      <c r="H93" s="81">
        <f t="shared" si="35"/>
        <v>149499367.08380756</v>
      </c>
      <c r="I93" s="137">
        <f t="shared" si="36"/>
        <v>3.409994051043112E-3</v>
      </c>
      <c r="J93" s="389"/>
      <c r="K93" s="389"/>
    </row>
    <row r="94" spans="1:12" ht="15" x14ac:dyDescent="0.2">
      <c r="A94" s="34" t="s">
        <v>153</v>
      </c>
      <c r="B94" s="38">
        <f>+SUM('2-Revenue'!M11+'2-Revenue'!M13+'2-Revenue'!M15+'2-Revenue'!M17+'2-Revenue'!M19)</f>
        <v>31355871.184024341</v>
      </c>
      <c r="C94" s="33">
        <v>1117105.9863412175</v>
      </c>
      <c r="D94" s="73">
        <f t="shared" si="33"/>
        <v>3.5626692678543001E-2</v>
      </c>
      <c r="E94" s="33">
        <f t="shared" si="34"/>
        <v>1117105.9863412175</v>
      </c>
      <c r="F94" s="33">
        <f>0</f>
        <v>0</v>
      </c>
      <c r="G94" s="33">
        <v>1274479.8809762355</v>
      </c>
      <c r="H94" s="81">
        <f t="shared" si="35"/>
        <v>32630351.065000579</v>
      </c>
      <c r="I94" s="137">
        <f t="shared" si="36"/>
        <v>3.9058111217909842E-2</v>
      </c>
      <c r="J94" s="392"/>
      <c r="K94" s="389"/>
    </row>
    <row r="95" spans="1:12" ht="15.75" thickBot="1" x14ac:dyDescent="0.25">
      <c r="A95" s="35" t="s">
        <v>154</v>
      </c>
      <c r="B95" s="38">
        <f>+SUM('2-Revenue'!M12+'2-Revenue'!M14+'2-Revenue'!M16+'2-Revenue'!M18+'2-Revenue'!M20)</f>
        <v>78014716.474126518</v>
      </c>
      <c r="C95" s="33">
        <v>5963627.5843788935</v>
      </c>
      <c r="D95" s="399">
        <f t="shared" si="33"/>
        <v>7.644234131590702E-2</v>
      </c>
      <c r="E95" s="33">
        <f t="shared" si="34"/>
        <v>5963627.5843788935</v>
      </c>
      <c r="F95" s="33">
        <f>0</f>
        <v>0</v>
      </c>
      <c r="G95" s="33">
        <v>2294063.7857572236</v>
      </c>
      <c r="H95" s="82">
        <f t="shared" si="35"/>
        <v>80308780.259883747</v>
      </c>
      <c r="I95" s="137">
        <f t="shared" si="36"/>
        <v>2.856554138082416E-2</v>
      </c>
      <c r="J95" s="78"/>
    </row>
    <row r="96" spans="1:12" ht="15.75" thickBot="1" x14ac:dyDescent="0.25">
      <c r="A96" s="36" t="s">
        <v>155</v>
      </c>
      <c r="B96" s="41">
        <f>SUM(B90:B95)</f>
        <v>841207401.53854775</v>
      </c>
      <c r="C96" s="41">
        <f t="shared" ref="C96" si="37">SUM(C90:C95)</f>
        <v>221157436.72462317</v>
      </c>
      <c r="D96" s="77">
        <f t="shared" si="33"/>
        <v>0.26290476798008627</v>
      </c>
      <c r="E96" s="41">
        <f t="shared" ref="E96:H96" si="38">SUM(E90:E95)</f>
        <v>221157436.72462317</v>
      </c>
      <c r="F96" s="39">
        <f t="shared" si="38"/>
        <v>0</v>
      </c>
      <c r="G96" s="39">
        <f t="shared" si="38"/>
        <v>12744798.809762355</v>
      </c>
      <c r="H96" s="79">
        <f t="shared" si="38"/>
        <v>853952200.34831023</v>
      </c>
      <c r="I96" s="138">
        <f t="shared" si="36"/>
        <v>1.4924487347844531E-2</v>
      </c>
      <c r="J96" s="78"/>
    </row>
    <row r="97" spans="1:12" ht="15" x14ac:dyDescent="0.2">
      <c r="A97" s="153"/>
      <c r="B97" s="154"/>
      <c r="C97" s="154"/>
      <c r="D97" s="155"/>
      <c r="E97" s="154"/>
      <c r="F97" s="156"/>
      <c r="G97" s="156"/>
      <c r="H97" s="156"/>
      <c r="I97" s="157"/>
      <c r="J97" s="78"/>
    </row>
    <row r="98" spans="1:12" ht="15.75" x14ac:dyDescent="0.2">
      <c r="A98" s="450" t="s">
        <v>162</v>
      </c>
      <c r="B98" s="451"/>
      <c r="C98" s="451"/>
      <c r="D98" s="451"/>
      <c r="E98" s="451"/>
      <c r="F98" s="451"/>
      <c r="G98" s="451"/>
      <c r="H98" s="452"/>
      <c r="I98" s="136"/>
      <c r="J98" s="78"/>
    </row>
    <row r="99" spans="1:12" ht="12.75" customHeight="1" x14ac:dyDescent="0.2">
      <c r="A99" s="453" t="s">
        <v>142</v>
      </c>
      <c r="B99" s="453" t="s">
        <v>143</v>
      </c>
      <c r="C99" s="453" t="s">
        <v>144</v>
      </c>
      <c r="D99" s="453" t="s">
        <v>145</v>
      </c>
      <c r="E99" s="453" t="s">
        <v>146</v>
      </c>
      <c r="F99" s="453" t="s">
        <v>147</v>
      </c>
      <c r="G99" s="453" t="s">
        <v>148</v>
      </c>
      <c r="H99" s="453" t="s">
        <v>149</v>
      </c>
      <c r="I99" s="447" t="s">
        <v>150</v>
      </c>
      <c r="J99" s="78"/>
    </row>
    <row r="100" spans="1:12" ht="12.75" customHeight="1" x14ac:dyDescent="0.2">
      <c r="A100" s="454"/>
      <c r="B100" s="454"/>
      <c r="C100" s="454"/>
      <c r="D100" s="454"/>
      <c r="E100" s="454"/>
      <c r="F100" s="454"/>
      <c r="G100" s="454"/>
      <c r="H100" s="454"/>
      <c r="I100" s="448"/>
      <c r="J100" s="78"/>
    </row>
    <row r="101" spans="1:12" ht="12.75" customHeight="1" x14ac:dyDescent="0.2">
      <c r="A101" s="454"/>
      <c r="B101" s="454"/>
      <c r="C101" s="454"/>
      <c r="D101" s="454"/>
      <c r="E101" s="454"/>
      <c r="F101" s="454"/>
      <c r="G101" s="454"/>
      <c r="H101" s="454"/>
      <c r="I101" s="448"/>
      <c r="J101" s="78"/>
    </row>
    <row r="102" spans="1:12" ht="22.5" customHeight="1" thickBot="1" x14ac:dyDescent="0.25">
      <c r="A102" s="455"/>
      <c r="B102" s="455"/>
      <c r="C102" s="455"/>
      <c r="D102" s="455"/>
      <c r="E102" s="455"/>
      <c r="F102" s="455"/>
      <c r="G102" s="455"/>
      <c r="H102" s="455"/>
      <c r="I102" s="449"/>
      <c r="J102" s="78"/>
    </row>
    <row r="103" spans="1:12" ht="15" x14ac:dyDescent="0.2">
      <c r="A103" s="32" t="s">
        <v>110</v>
      </c>
      <c r="B103" s="37">
        <f>+'2-Revenue'!O7</f>
        <v>213759607.89574403</v>
      </c>
      <c r="C103" s="33">
        <v>63760532.870711364</v>
      </c>
      <c r="D103" s="73">
        <f t="shared" ref="D103:D109" si="39">IF(C103=0,"%",C103/B103)</f>
        <v>0.29828148310324837</v>
      </c>
      <c r="E103" s="33">
        <f t="shared" ref="E103:E108" si="40">C103</f>
        <v>63760532.870711364</v>
      </c>
      <c r="F103" s="33">
        <f>0</f>
        <v>0</v>
      </c>
      <c r="G103" s="33">
        <v>6430973.4660254037</v>
      </c>
      <c r="H103" s="80">
        <f>B103+F103+G103</f>
        <v>220190581.36176944</v>
      </c>
      <c r="I103" s="137">
        <f>IF(H103=0,"%",(F103+G103)/H103)</f>
        <v>2.920639668714722E-2</v>
      </c>
      <c r="J103" s="78"/>
      <c r="L103" s="394"/>
    </row>
    <row r="104" spans="1:12" ht="15" x14ac:dyDescent="0.2">
      <c r="A104" s="34" t="s">
        <v>111</v>
      </c>
      <c r="B104" s="37">
        <f>+'2-Revenue'!O8</f>
        <v>312364926.46535069</v>
      </c>
      <c r="C104" s="33">
        <v>85697467.548611224</v>
      </c>
      <c r="D104" s="73">
        <f t="shared" si="39"/>
        <v>0.2743504801206203</v>
      </c>
      <c r="E104" s="33">
        <f t="shared" si="40"/>
        <v>85697467.548611224</v>
      </c>
      <c r="F104" s="33">
        <f>0</f>
        <v>0</v>
      </c>
      <c r="G104" s="33">
        <v>2796075.4200110454</v>
      </c>
      <c r="H104" s="81">
        <f t="shared" ref="H104:H108" si="41">B104+F104+G104</f>
        <v>315161001.88536173</v>
      </c>
      <c r="I104" s="137">
        <f t="shared" ref="I104:I109" si="42">IF(H104=0,"%",(F104+G104)/H104)</f>
        <v>8.8718953274177746E-3</v>
      </c>
      <c r="J104" s="392"/>
      <c r="K104" s="389"/>
    </row>
    <row r="105" spans="1:12" ht="15" x14ac:dyDescent="0.2">
      <c r="A105" s="34" t="s">
        <v>112</v>
      </c>
      <c r="B105" s="37">
        <f>+'2-Revenue'!O9</f>
        <v>56599550.763007373</v>
      </c>
      <c r="C105" s="33">
        <v>6705057.2872578874</v>
      </c>
      <c r="D105" s="73">
        <f t="shared" si="39"/>
        <v>0.11846484993022618</v>
      </c>
      <c r="E105" s="33">
        <f t="shared" si="40"/>
        <v>6705057.2872578874</v>
      </c>
      <c r="F105" s="33">
        <f>0</f>
        <v>0</v>
      </c>
      <c r="G105" s="33">
        <v>279607.54200110451</v>
      </c>
      <c r="H105" s="81">
        <f t="shared" si="41"/>
        <v>56879158.305008478</v>
      </c>
      <c r="I105" s="137">
        <f t="shared" si="42"/>
        <v>4.9158171522464978E-3</v>
      </c>
      <c r="J105" s="392"/>
      <c r="K105" s="389"/>
      <c r="L105" s="396"/>
    </row>
    <row r="106" spans="1:12" ht="15" x14ac:dyDescent="0.2">
      <c r="A106" s="34" t="s">
        <v>113</v>
      </c>
      <c r="B106" s="37">
        <f>+'2-Revenue'!O10</f>
        <v>150161961.57991192</v>
      </c>
      <c r="C106" s="33">
        <v>60890437.316416599</v>
      </c>
      <c r="D106" s="73">
        <f t="shared" si="39"/>
        <v>0.40549841435051076</v>
      </c>
      <c r="E106" s="33">
        <f t="shared" si="40"/>
        <v>60890437.316416599</v>
      </c>
      <c r="F106" s="33">
        <f>0</f>
        <v>0</v>
      </c>
      <c r="G106" s="33">
        <v>559215.08400220901</v>
      </c>
      <c r="H106" s="81">
        <f t="shared" si="41"/>
        <v>150721176.66391411</v>
      </c>
      <c r="I106" s="137">
        <f t="shared" si="42"/>
        <v>3.7102621965934869E-3</v>
      </c>
      <c r="J106" s="78"/>
      <c r="K106" s="389"/>
    </row>
    <row r="107" spans="1:12" ht="15" x14ac:dyDescent="0.2">
      <c r="A107" s="34" t="s">
        <v>153</v>
      </c>
      <c r="B107" s="38">
        <f>+SUM('2-Revenue'!O11+'2-Revenue'!O13+'2-Revenue'!O15+'2-Revenue'!O17+'2-Revenue'!O19)</f>
        <v>31299731.435707867</v>
      </c>
      <c r="C107" s="33">
        <v>1023705.3319761583</v>
      </c>
      <c r="D107" s="73">
        <f t="shared" si="39"/>
        <v>3.270652127092305E-2</v>
      </c>
      <c r="E107" s="33">
        <f t="shared" si="40"/>
        <v>1023705.3319761583</v>
      </c>
      <c r="F107" s="33">
        <f>0</f>
        <v>0</v>
      </c>
      <c r="G107" s="33">
        <v>1398037.7100055227</v>
      </c>
      <c r="H107" s="81">
        <f t="shared" si="41"/>
        <v>32697769.145713389</v>
      </c>
      <c r="I107" s="137">
        <f t="shared" si="42"/>
        <v>4.2756363707118612E-2</v>
      </c>
      <c r="J107" s="392"/>
      <c r="K107" s="389"/>
    </row>
    <row r="108" spans="1:12" ht="15.75" thickBot="1" x14ac:dyDescent="0.25">
      <c r="A108" s="35" t="s">
        <v>154</v>
      </c>
      <c r="B108" s="38">
        <f>+SUM('2-Revenue'!O12+'2-Revenue'!O14+'2-Revenue'!O16+'2-Revenue'!O18+'2-Revenue'!O20)</f>
        <v>77957386.955892056</v>
      </c>
      <c r="C108" s="33">
        <v>5835034.774611434</v>
      </c>
      <c r="D108" s="399">
        <f t="shared" si="39"/>
        <v>7.4849029738681086E-2</v>
      </c>
      <c r="E108" s="33">
        <f t="shared" si="40"/>
        <v>5835034.774611434</v>
      </c>
      <c r="F108" s="33">
        <f>0</f>
        <v>0</v>
      </c>
      <c r="G108" s="33">
        <v>2516467.8780099405</v>
      </c>
      <c r="H108" s="82">
        <f t="shared" si="41"/>
        <v>80473854.833902001</v>
      </c>
      <c r="I108" s="137">
        <f t="shared" si="42"/>
        <v>3.1270626754539461E-2</v>
      </c>
      <c r="J108" s="78"/>
    </row>
    <row r="109" spans="1:12" ht="15.75" thickBot="1" x14ac:dyDescent="0.25">
      <c r="A109" s="36" t="s">
        <v>155</v>
      </c>
      <c r="B109" s="41">
        <f>SUM(B103:B108)</f>
        <v>842143165.09561396</v>
      </c>
      <c r="C109" s="41">
        <f t="shared" ref="C109" si="43">SUM(C103:C108)</f>
        <v>223912235.12958464</v>
      </c>
      <c r="D109" s="77">
        <f t="shared" si="39"/>
        <v>0.26588381217125051</v>
      </c>
      <c r="E109" s="41">
        <f t="shared" ref="E109:H109" si="44">SUM(E103:E108)</f>
        <v>223912235.12958464</v>
      </c>
      <c r="F109" s="39">
        <f t="shared" si="44"/>
        <v>0</v>
      </c>
      <c r="G109" s="39">
        <f t="shared" si="44"/>
        <v>13980377.100055225</v>
      </c>
      <c r="H109" s="79">
        <f t="shared" si="44"/>
        <v>856123542.19566905</v>
      </c>
      <c r="I109" s="138">
        <f t="shared" si="42"/>
        <v>1.6329859431502444E-2</v>
      </c>
      <c r="J109" s="78"/>
    </row>
    <row r="111" spans="1:12" ht="72.75" customHeight="1" x14ac:dyDescent="0.2">
      <c r="A111" s="467" t="s">
        <v>163</v>
      </c>
      <c r="B111" s="467"/>
      <c r="C111" s="467"/>
      <c r="D111" s="467"/>
      <c r="E111" s="467"/>
      <c r="F111" s="467"/>
      <c r="G111" s="467"/>
      <c r="H111" s="467"/>
      <c r="I111" s="140"/>
    </row>
  </sheetData>
  <mergeCells count="101">
    <mergeCell ref="A2:E2"/>
    <mergeCell ref="J10:K10"/>
    <mergeCell ref="J11:K11"/>
    <mergeCell ref="A19:E19"/>
    <mergeCell ref="G8:G11"/>
    <mergeCell ref="A7:H7"/>
    <mergeCell ref="H8:H11"/>
    <mergeCell ref="A3:H3"/>
    <mergeCell ref="A4:H4"/>
    <mergeCell ref="A5:H5"/>
    <mergeCell ref="A6:F6"/>
    <mergeCell ref="I8:I11"/>
    <mergeCell ref="F8:F11"/>
    <mergeCell ref="A20:H20"/>
    <mergeCell ref="A21:A24"/>
    <mergeCell ref="B21:B24"/>
    <mergeCell ref="C21:C24"/>
    <mergeCell ref="D21:D24"/>
    <mergeCell ref="E21:E24"/>
    <mergeCell ref="A8:A11"/>
    <mergeCell ref="B8:B11"/>
    <mergeCell ref="C8:C11"/>
    <mergeCell ref="D8:D11"/>
    <mergeCell ref="E8:E11"/>
    <mergeCell ref="F21:F24"/>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F60:F63"/>
    <mergeCell ref="G60:G63"/>
    <mergeCell ref="A72:H72"/>
    <mergeCell ref="A73:A76"/>
    <mergeCell ref="B73:B76"/>
    <mergeCell ref="C73:C76"/>
    <mergeCell ref="D73:D76"/>
    <mergeCell ref="E73:E76"/>
    <mergeCell ref="F73:F76"/>
    <mergeCell ref="G73:G76"/>
    <mergeCell ref="H73:H76"/>
    <mergeCell ref="J75:K75"/>
    <mergeCell ref="J76:K76"/>
    <mergeCell ref="A85:H85"/>
    <mergeCell ref="A86:A89"/>
    <mergeCell ref="B86:B89"/>
    <mergeCell ref="C86:C89"/>
    <mergeCell ref="D86:D89"/>
    <mergeCell ref="E86:E89"/>
    <mergeCell ref="F86:F89"/>
    <mergeCell ref="G86:G89"/>
    <mergeCell ref="H86:H89"/>
    <mergeCell ref="I86:I89"/>
    <mergeCell ref="I73:I76"/>
    <mergeCell ref="I99:I102"/>
    <mergeCell ref="A98:H98"/>
    <mergeCell ref="A99:A102"/>
    <mergeCell ref="B99:B102"/>
    <mergeCell ref="C99:C102"/>
    <mergeCell ref="D99:D102"/>
    <mergeCell ref="E99:E102"/>
    <mergeCell ref="F99:F102"/>
    <mergeCell ref="G99:G102"/>
    <mergeCell ref="H99:H102"/>
  </mergeCells>
  <pageMargins left="0.25" right="0.25" top="0.75" bottom="0.75" header="0.3" footer="0.3"/>
  <pageSetup paperSize="17"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7"/>
  <sheetViews>
    <sheetView tabSelected="1" topLeftCell="A3" zoomScale="75" zoomScaleNormal="75" workbookViewId="0">
      <selection activeCell="C22" sqref="C22"/>
    </sheetView>
  </sheetViews>
  <sheetFormatPr defaultColWidth="9.140625" defaultRowHeight="12.75" x14ac:dyDescent="0.2"/>
  <cols>
    <col min="1" max="1" width="17.7109375" style="91" customWidth="1"/>
    <col min="2" max="2" width="7.140625" style="91" customWidth="1"/>
    <col min="3" max="3" width="51.7109375" style="318" customWidth="1"/>
    <col min="4" max="4" width="18.5703125" style="91" customWidth="1"/>
    <col min="5" max="5" width="17.28515625" style="91" customWidth="1"/>
    <col min="6" max="7" width="18.5703125" style="91" customWidth="1"/>
    <col min="8" max="8" width="21.85546875" style="91" customWidth="1"/>
    <col min="9" max="9" width="18.42578125" style="91" customWidth="1"/>
    <col min="10" max="11" width="20.28515625" style="91" customWidth="1"/>
    <col min="12" max="12" width="22.140625" style="91" customWidth="1"/>
    <col min="13" max="13" width="16" style="91" customWidth="1"/>
    <col min="14" max="15" width="20.28515625" style="91" customWidth="1"/>
    <col min="16" max="16" width="18.140625" style="91" customWidth="1"/>
    <col min="17" max="17" width="57.140625" style="91" customWidth="1"/>
    <col min="18" max="16384" width="9.140625" style="91"/>
  </cols>
  <sheetData>
    <row r="1" spans="1:17" ht="20.100000000000001" customHeight="1" x14ac:dyDescent="0.2">
      <c r="A1" s="177" t="s">
        <v>164</v>
      </c>
      <c r="B1" s="177"/>
      <c r="C1" s="308"/>
      <c r="D1" s="177"/>
      <c r="E1" s="177"/>
      <c r="F1" s="177"/>
      <c r="G1" s="177"/>
      <c r="H1" s="177"/>
      <c r="I1" s="177"/>
      <c r="J1" s="177"/>
      <c r="K1" s="177"/>
      <c r="L1" s="177"/>
      <c r="M1" s="177"/>
      <c r="N1" s="177"/>
      <c r="O1" s="177"/>
    </row>
    <row r="2" spans="1:17" ht="20.100000000000001" customHeight="1" x14ac:dyDescent="0.2">
      <c r="A2" s="489" t="str">
        <f>'Institution ID'!C3</f>
        <v>University of Virginia</v>
      </c>
      <c r="B2" s="489"/>
      <c r="C2" s="489"/>
      <c r="D2" s="489"/>
      <c r="E2" s="489"/>
      <c r="F2" s="489"/>
      <c r="G2" s="489"/>
      <c r="H2" s="489"/>
      <c r="I2" s="489"/>
      <c r="J2" s="489"/>
      <c r="K2" s="370"/>
      <c r="L2" s="370"/>
      <c r="M2" s="370"/>
      <c r="N2" s="370"/>
      <c r="O2" s="370"/>
    </row>
    <row r="3" spans="1:17" ht="297.75" customHeight="1" x14ac:dyDescent="0.2">
      <c r="A3" s="490" t="s">
        <v>165</v>
      </c>
      <c r="B3" s="490"/>
      <c r="C3" s="490"/>
      <c r="D3" s="490"/>
      <c r="E3" s="490"/>
      <c r="F3" s="490"/>
      <c r="G3" s="490"/>
      <c r="H3" s="490"/>
      <c r="I3" s="490"/>
      <c r="J3" s="490"/>
      <c r="K3" s="490"/>
      <c r="L3" s="490"/>
      <c r="M3" s="490"/>
      <c r="N3" s="490"/>
      <c r="O3" s="490"/>
      <c r="P3" s="490"/>
      <c r="Q3" s="490"/>
    </row>
    <row r="4" spans="1:17" ht="30.75" customHeight="1" x14ac:dyDescent="0.2">
      <c r="A4" s="371"/>
      <c r="B4" s="491" t="s">
        <v>166</v>
      </c>
      <c r="C4" s="491"/>
      <c r="D4" s="491"/>
      <c r="E4" s="371"/>
      <c r="F4" s="371"/>
      <c r="G4" s="371"/>
      <c r="H4" s="319" t="s">
        <v>167</v>
      </c>
      <c r="I4" s="371"/>
      <c r="J4" s="371"/>
      <c r="K4" s="371"/>
      <c r="L4" s="319" t="s">
        <v>168</v>
      </c>
      <c r="M4" s="371"/>
      <c r="N4" s="371"/>
      <c r="O4" s="371"/>
      <c r="P4" s="371"/>
      <c r="Q4" s="371"/>
    </row>
    <row r="5" spans="1:17" ht="20.100000000000001" customHeight="1" x14ac:dyDescent="0.2">
      <c r="A5" s="206"/>
      <c r="B5" s="182" t="s">
        <v>169</v>
      </c>
      <c r="C5" s="309"/>
      <c r="D5" s="184">
        <v>1011960548</v>
      </c>
      <c r="E5" s="176"/>
      <c r="F5" s="176"/>
      <c r="G5" s="176"/>
      <c r="H5" s="320" t="s">
        <v>170</v>
      </c>
      <c r="I5" s="176"/>
      <c r="J5" s="176"/>
      <c r="K5" s="176"/>
      <c r="L5" s="320" t="s">
        <v>170</v>
      </c>
      <c r="M5" s="176"/>
      <c r="N5" s="176"/>
      <c r="O5" s="176"/>
      <c r="P5" s="176"/>
    </row>
    <row r="6" spans="1:17" ht="20.100000000000001" customHeight="1" x14ac:dyDescent="0.2">
      <c r="A6" s="206"/>
      <c r="B6" s="183" t="s">
        <v>171</v>
      </c>
      <c r="C6" s="310"/>
      <c r="D6" s="185">
        <v>1113968310.1216629</v>
      </c>
      <c r="E6" s="176"/>
      <c r="F6" s="176"/>
      <c r="G6" s="176"/>
      <c r="H6" s="378">
        <f>IFERROR(SUM(H12:H20,H22)/SUM(E12:E20,E22),"%")</f>
        <v>0.15325814806988766</v>
      </c>
      <c r="I6" s="176"/>
      <c r="J6" s="176"/>
      <c r="K6" s="176"/>
      <c r="L6" s="378">
        <f>IFERROR(SUM(L12:L20,L22)/SUM(I12:I20,I22),"%")</f>
        <v>0.15350482752666761</v>
      </c>
      <c r="M6" s="176"/>
      <c r="N6" s="176"/>
      <c r="O6" s="176"/>
      <c r="P6" s="176"/>
    </row>
    <row r="7" spans="1:17" ht="20.100000000000001" customHeight="1" x14ac:dyDescent="0.2">
      <c r="A7" s="206"/>
      <c r="B7" s="178"/>
      <c r="C7" s="311"/>
      <c r="D7" s="179"/>
      <c r="E7" s="176"/>
      <c r="F7" s="176"/>
      <c r="G7" s="176"/>
      <c r="H7" s="321"/>
      <c r="I7" s="176"/>
      <c r="J7" s="176"/>
      <c r="K7" s="176"/>
      <c r="L7" s="321"/>
      <c r="M7" s="176"/>
      <c r="N7" s="176"/>
      <c r="O7" s="176"/>
      <c r="P7" s="176"/>
    </row>
    <row r="8" spans="1:17" ht="20.100000000000001" customHeight="1" x14ac:dyDescent="0.2">
      <c r="A8" s="206"/>
      <c r="B8" s="178"/>
      <c r="C8" s="311"/>
      <c r="D8" s="179"/>
      <c r="E8" s="497" t="s">
        <v>172</v>
      </c>
      <c r="F8" s="498"/>
      <c r="G8" s="498"/>
      <c r="H8" s="498"/>
      <c r="I8" s="498"/>
      <c r="J8" s="498"/>
      <c r="K8" s="498"/>
      <c r="L8" s="498"/>
      <c r="M8" s="498"/>
      <c r="N8" s="498"/>
      <c r="O8" s="498"/>
      <c r="P8" s="499"/>
    </row>
    <row r="9" spans="1:17" ht="40.15" customHeight="1" x14ac:dyDescent="0.2">
      <c r="A9" s="207"/>
      <c r="B9" s="487"/>
      <c r="C9" s="488"/>
      <c r="D9" s="208"/>
      <c r="E9" s="492" t="s">
        <v>173</v>
      </c>
      <c r="F9" s="493"/>
      <c r="G9" s="493"/>
      <c r="H9" s="494"/>
      <c r="I9" s="492" t="s">
        <v>174</v>
      </c>
      <c r="J9" s="493"/>
      <c r="K9" s="493"/>
      <c r="L9" s="494"/>
      <c r="M9" s="196" t="s">
        <v>175</v>
      </c>
      <c r="N9" s="196" t="s">
        <v>176</v>
      </c>
      <c r="O9" s="196" t="s">
        <v>177</v>
      </c>
      <c r="P9" s="196" t="s">
        <v>178</v>
      </c>
      <c r="Q9" s="495" t="s">
        <v>179</v>
      </c>
    </row>
    <row r="10" spans="1:17" ht="60.75" customHeight="1" x14ac:dyDescent="0.2">
      <c r="A10" s="207"/>
      <c r="B10" s="209"/>
      <c r="C10" s="312" t="s">
        <v>180</v>
      </c>
      <c r="D10" s="196"/>
      <c r="E10" s="197" t="s">
        <v>181</v>
      </c>
      <c r="F10" s="198" t="s">
        <v>182</v>
      </c>
      <c r="G10" s="198" t="s">
        <v>183</v>
      </c>
      <c r="H10" s="199" t="s">
        <v>184</v>
      </c>
      <c r="I10" s="197" t="s">
        <v>181</v>
      </c>
      <c r="J10" s="198" t="s">
        <v>182</v>
      </c>
      <c r="K10" s="198" t="s">
        <v>183</v>
      </c>
      <c r="L10" s="199" t="s">
        <v>184</v>
      </c>
      <c r="M10" s="196" t="s">
        <v>185</v>
      </c>
      <c r="N10" s="196" t="s">
        <v>185</v>
      </c>
      <c r="O10" s="196" t="s">
        <v>185</v>
      </c>
      <c r="P10" s="196" t="s">
        <v>185</v>
      </c>
      <c r="Q10" s="496"/>
    </row>
    <row r="11" spans="1:17" ht="15.75" x14ac:dyDescent="0.2">
      <c r="A11" s="207"/>
      <c r="B11" s="210" t="s">
        <v>186</v>
      </c>
      <c r="C11" s="313"/>
      <c r="D11" s="188"/>
      <c r="E11" s="191"/>
      <c r="F11" s="186"/>
      <c r="G11" s="186"/>
      <c r="H11" s="192"/>
      <c r="I11" s="191"/>
      <c r="J11" s="186"/>
      <c r="K11" s="186"/>
      <c r="L11" s="192"/>
      <c r="M11" s="188"/>
      <c r="N11" s="188"/>
      <c r="O11" s="188"/>
      <c r="P11" s="188"/>
      <c r="Q11" s="211"/>
    </row>
    <row r="12" spans="1:17" ht="37.5" customHeight="1" x14ac:dyDescent="0.2">
      <c r="A12" s="381"/>
      <c r="B12" s="212"/>
      <c r="C12" s="230" t="s">
        <v>187</v>
      </c>
      <c r="D12" s="189"/>
      <c r="E12" s="203">
        <f>SUM(F12:H12)</f>
        <v>6836532.156524851</v>
      </c>
      <c r="F12" s="203">
        <v>0</v>
      </c>
      <c r="G12" s="203">
        <v>5285223.9724697396</v>
      </c>
      <c r="H12" s="204">
        <v>1551308.1840551111</v>
      </c>
      <c r="I12" s="202">
        <f>SUM(J12:L12)</f>
        <v>13809794.956180224</v>
      </c>
      <c r="J12" s="203">
        <v>0</v>
      </c>
      <c r="K12" s="203">
        <v>10676152.4243889</v>
      </c>
      <c r="L12" s="204">
        <v>3133642.5317913243</v>
      </c>
      <c r="M12" s="205">
        <v>20922523.011828661</v>
      </c>
      <c r="N12" s="205">
        <v>28177505.628590088</v>
      </c>
      <c r="O12" s="205">
        <v>35577587.897686742</v>
      </c>
      <c r="P12" s="205">
        <v>43125671.812165327</v>
      </c>
      <c r="Q12" s="213"/>
    </row>
    <row r="13" spans="1:17" ht="37.5" customHeight="1" x14ac:dyDescent="0.2">
      <c r="A13" s="381"/>
      <c r="B13" s="212"/>
      <c r="C13" s="230" t="s">
        <v>188</v>
      </c>
      <c r="D13" s="189"/>
      <c r="E13" s="203">
        <f>SUM(F13:H13)</f>
        <v>793576.2873325788</v>
      </c>
      <c r="F13" s="203">
        <v>0</v>
      </c>
      <c r="G13" s="203">
        <v>613502.33155718702</v>
      </c>
      <c r="H13" s="204">
        <v>180073.95577539183</v>
      </c>
      <c r="I13" s="202">
        <f>SUM(J13:L13)</f>
        <v>1603024.1004118114</v>
      </c>
      <c r="J13" s="203">
        <v>0</v>
      </c>
      <c r="K13" s="203">
        <v>1239274.7097455198</v>
      </c>
      <c r="L13" s="204">
        <v>363749.39066629153</v>
      </c>
      <c r="M13" s="205">
        <v>2428660.8697526259</v>
      </c>
      <c r="N13" s="205">
        <v>3270810.3744802577</v>
      </c>
      <c r="O13" s="205">
        <v>4129802.8693024423</v>
      </c>
      <c r="P13" s="205">
        <v>5005975.2140210709</v>
      </c>
      <c r="Q13" s="213"/>
    </row>
    <row r="14" spans="1:17" ht="37.5" customHeight="1" x14ac:dyDescent="0.2">
      <c r="A14" s="381"/>
      <c r="B14" s="212"/>
      <c r="C14" s="314" t="s">
        <v>189</v>
      </c>
      <c r="D14" s="189"/>
      <c r="E14" s="203">
        <f>SUM(F14:H14)</f>
        <v>659272.64186882041</v>
      </c>
      <c r="F14" s="203">
        <v>0</v>
      </c>
      <c r="G14" s="203">
        <v>509674.12884513394</v>
      </c>
      <c r="H14" s="204">
        <v>149598.51302368648</v>
      </c>
      <c r="I14" s="202">
        <f>SUM(J14:L14)</f>
        <v>1331730.7365750168</v>
      </c>
      <c r="J14" s="203">
        <v>0</v>
      </c>
      <c r="K14" s="203">
        <v>1029541.7402671701</v>
      </c>
      <c r="L14" s="204">
        <v>302188.99630784668</v>
      </c>
      <c r="M14" s="205">
        <v>2017637.9931753369</v>
      </c>
      <c r="N14" s="205">
        <v>2717263.3949076636</v>
      </c>
      <c r="O14" s="205">
        <v>3430881.3046746366</v>
      </c>
      <c r="P14" s="205">
        <v>4158771.5726369494</v>
      </c>
      <c r="Q14" s="213"/>
    </row>
    <row r="15" spans="1:17" ht="37.5" customHeight="1" x14ac:dyDescent="0.2">
      <c r="A15" s="381"/>
      <c r="B15" s="212"/>
      <c r="C15" s="230" t="s">
        <v>190</v>
      </c>
      <c r="D15" s="189"/>
      <c r="E15" s="203">
        <f>SUM(F15:H15)</f>
        <v>8417956.964765925</v>
      </c>
      <c r="F15" s="203">
        <v>0</v>
      </c>
      <c r="G15" s="203">
        <v>6507800.582337209</v>
      </c>
      <c r="H15" s="204">
        <v>1910156.3824287157</v>
      </c>
      <c r="I15" s="202">
        <f>SUM(J15:L15)</f>
        <v>17004273.068827208</v>
      </c>
      <c r="J15" s="203">
        <v>0</v>
      </c>
      <c r="K15" s="203">
        <v>13145757.176321203</v>
      </c>
      <c r="L15" s="204">
        <v>3858515.8925060057</v>
      </c>
      <c r="M15" s="205">
        <v>25762315.494969636</v>
      </c>
      <c r="N15" s="205">
        <v>34695518.769634955</v>
      </c>
      <c r="O15" s="205">
        <v>43807386.109793581</v>
      </c>
      <c r="P15" s="205">
        <v>53101490.796755373</v>
      </c>
      <c r="Q15" s="213"/>
    </row>
    <row r="16" spans="1:17" ht="37.5" customHeight="1" x14ac:dyDescent="0.2">
      <c r="A16" s="381"/>
      <c r="B16" s="212"/>
      <c r="C16" s="230" t="s">
        <v>191</v>
      </c>
      <c r="D16" s="189"/>
      <c r="E16" s="203">
        <f t="shared" ref="E16:E20" si="0">SUM(F16:H16)</f>
        <v>286810</v>
      </c>
      <c r="F16" s="203">
        <v>0</v>
      </c>
      <c r="G16" s="203">
        <v>221729</v>
      </c>
      <c r="H16" s="204">
        <v>65081</v>
      </c>
      <c r="I16" s="202">
        <f t="shared" ref="I16" si="1">SUM(J16:L16)</f>
        <v>579356</v>
      </c>
      <c r="J16" s="203">
        <v>0</v>
      </c>
      <c r="K16" s="203">
        <v>447892</v>
      </c>
      <c r="L16" s="204">
        <v>131464</v>
      </c>
      <c r="M16" s="205">
        <v>877754</v>
      </c>
      <c r="N16" s="205">
        <v>1182119</v>
      </c>
      <c r="O16" s="205">
        <v>1492571</v>
      </c>
      <c r="P16" s="205">
        <v>1809233</v>
      </c>
      <c r="Q16" s="213"/>
    </row>
    <row r="17" spans="1:17" ht="37.5" customHeight="1" x14ac:dyDescent="0.2">
      <c r="A17" s="381"/>
      <c r="B17" s="212"/>
      <c r="C17" s="230" t="s">
        <v>192</v>
      </c>
      <c r="D17" s="189"/>
      <c r="E17" s="203">
        <f t="shared" si="0"/>
        <v>3418266.0782624302</v>
      </c>
      <c r="F17" s="203">
        <v>0</v>
      </c>
      <c r="G17" s="203">
        <v>3418266.0782624302</v>
      </c>
      <c r="H17" s="204">
        <f>0</f>
        <v>0</v>
      </c>
      <c r="I17" s="202">
        <f t="shared" ref="I17:I20" si="2">SUM(J17:L17)</f>
        <v>6870714.8173074797</v>
      </c>
      <c r="J17" s="203">
        <v>0</v>
      </c>
      <c r="K17" s="203">
        <v>6870714.8173074797</v>
      </c>
      <c r="L17" s="204">
        <f>0</f>
        <v>0</v>
      </c>
      <c r="M17" s="205">
        <v>10357688.043742979</v>
      </c>
      <c r="N17" s="205">
        <v>13879531.002442835</v>
      </c>
      <c r="O17" s="205">
        <v>17436592.390729688</v>
      </c>
      <c r="P17" s="205">
        <v>21029224.392899413</v>
      </c>
      <c r="Q17" s="402" t="s">
        <v>193</v>
      </c>
    </row>
    <row r="18" spans="1:17" ht="37.5" customHeight="1" x14ac:dyDescent="0.2">
      <c r="A18" s="381"/>
      <c r="B18" s="212"/>
      <c r="C18" s="230" t="s">
        <v>194</v>
      </c>
      <c r="D18" s="189"/>
      <c r="E18" s="203">
        <f t="shared" si="0"/>
        <v>396788.14366628998</v>
      </c>
      <c r="F18" s="203">
        <v>0</v>
      </c>
      <c r="G18" s="203">
        <v>396788.14366628998</v>
      </c>
      <c r="H18" s="204">
        <f>0</f>
        <v>0</v>
      </c>
      <c r="I18" s="202">
        <f t="shared" si="2"/>
        <v>797544.16876924201</v>
      </c>
      <c r="J18" s="203">
        <v>0</v>
      </c>
      <c r="K18" s="203">
        <v>797544.16876924201</v>
      </c>
      <c r="L18" s="204">
        <f>0</f>
        <v>0</v>
      </c>
      <c r="M18" s="205">
        <v>1202307.7541232244</v>
      </c>
      <c r="N18" s="205">
        <v>1611118.9753307463</v>
      </c>
      <c r="O18" s="205">
        <v>2024018.3087503435</v>
      </c>
      <c r="P18" s="205">
        <v>2441046.6355041368</v>
      </c>
      <c r="Q18" s="402" t="s">
        <v>195</v>
      </c>
    </row>
    <row r="19" spans="1:17" ht="37.5" customHeight="1" x14ac:dyDescent="0.2">
      <c r="A19" s="381"/>
      <c r="B19" s="212"/>
      <c r="C19" s="230" t="s">
        <v>196</v>
      </c>
      <c r="D19" s="189"/>
      <c r="E19" s="203">
        <f t="shared" si="0"/>
        <v>4208978.4823829597</v>
      </c>
      <c r="F19" s="203">
        <v>0</v>
      </c>
      <c r="G19" s="203">
        <v>4208978.4823829597</v>
      </c>
      <c r="H19" s="204">
        <f>0</f>
        <v>0</v>
      </c>
      <c r="I19" s="202">
        <f t="shared" si="2"/>
        <v>8460046.7495897505</v>
      </c>
      <c r="J19" s="203">
        <v>0</v>
      </c>
      <c r="K19" s="203">
        <v>8460046.7495897505</v>
      </c>
      <c r="L19" s="204">
        <f>0</f>
        <v>0</v>
      </c>
      <c r="M19" s="205">
        <v>12753625.699468613</v>
      </c>
      <c r="N19" s="205">
        <v>17090140.43884626</v>
      </c>
      <c r="O19" s="205">
        <v>21470020.325617686</v>
      </c>
      <c r="P19" s="205">
        <v>25893699.011256825</v>
      </c>
      <c r="Q19" s="402" t="s">
        <v>197</v>
      </c>
    </row>
    <row r="20" spans="1:17" ht="37.5" customHeight="1" x14ac:dyDescent="0.2">
      <c r="A20" s="381"/>
      <c r="B20" s="212"/>
      <c r="C20" s="230" t="s">
        <v>198</v>
      </c>
      <c r="D20" s="189"/>
      <c r="E20" s="203">
        <f t="shared" si="0"/>
        <v>143405</v>
      </c>
      <c r="F20" s="203">
        <v>0</v>
      </c>
      <c r="G20" s="203">
        <v>143405</v>
      </c>
      <c r="H20" s="204">
        <f>0</f>
        <v>0</v>
      </c>
      <c r="I20" s="202">
        <f t="shared" si="2"/>
        <v>288244</v>
      </c>
      <c r="J20" s="203">
        <v>0</v>
      </c>
      <c r="K20" s="203">
        <v>288244</v>
      </c>
      <c r="L20" s="204">
        <f>0</f>
        <v>0</v>
      </c>
      <c r="M20" s="205">
        <v>434532</v>
      </c>
      <c r="N20" s="205">
        <v>582282</v>
      </c>
      <c r="O20" s="205">
        <v>731510</v>
      </c>
      <c r="P20" s="205">
        <v>882230</v>
      </c>
      <c r="Q20" s="402" t="s">
        <v>199</v>
      </c>
    </row>
    <row r="21" spans="1:17" ht="44.25" customHeight="1" x14ac:dyDescent="0.2">
      <c r="A21" s="381"/>
      <c r="B21" s="212"/>
      <c r="C21" s="230" t="s">
        <v>396</v>
      </c>
      <c r="D21" s="189"/>
      <c r="E21" s="202">
        <f t="shared" ref="E21" si="3">SUM(F21:H21)</f>
        <v>19071656.918627352</v>
      </c>
      <c r="F21" s="203">
        <f>0</f>
        <v>0</v>
      </c>
      <c r="G21" s="203">
        <f>('6-GF Request'!D16)</f>
        <v>19071656.918627352</v>
      </c>
      <c r="H21" s="307"/>
      <c r="I21" s="202">
        <f t="shared" ref="I21" si="4">SUM(J21:L21)</f>
        <v>23557132.264441133</v>
      </c>
      <c r="J21" s="203">
        <f>0</f>
        <v>0</v>
      </c>
      <c r="K21" s="203">
        <f>('6-GF Request'!F16)</f>
        <v>23557132.264441133</v>
      </c>
      <c r="L21" s="307"/>
      <c r="M21" s="205">
        <v>28256278.215785585</v>
      </c>
      <c r="N21" s="205">
        <v>33179273.209537044</v>
      </c>
      <c r="O21" s="205">
        <v>38336780.543729961</v>
      </c>
      <c r="P21" s="205">
        <v>43699262.621933617</v>
      </c>
      <c r="Q21" s="213"/>
    </row>
    <row r="22" spans="1:17" ht="20.100000000000001" customHeight="1" x14ac:dyDescent="0.2">
      <c r="A22" s="381"/>
      <c r="B22" s="210" t="s">
        <v>200</v>
      </c>
      <c r="C22" s="315"/>
      <c r="D22" s="190"/>
      <c r="E22" s="187"/>
      <c r="F22" s="187"/>
      <c r="G22" s="187"/>
      <c r="H22" s="194"/>
      <c r="I22" s="193"/>
      <c r="J22" s="187"/>
      <c r="K22" s="187"/>
      <c r="L22" s="194"/>
      <c r="M22" s="195"/>
      <c r="N22" s="195"/>
      <c r="O22" s="195"/>
      <c r="P22" s="195"/>
      <c r="Q22" s="211"/>
    </row>
    <row r="23" spans="1:17" ht="37.5" customHeight="1" x14ac:dyDescent="0.2">
      <c r="A23" s="381"/>
      <c r="B23" s="209"/>
      <c r="C23" s="230" t="s">
        <v>201</v>
      </c>
      <c r="D23" s="189"/>
      <c r="E23" s="203">
        <f t="shared" ref="E23:E28" si="5">SUM(F23:H23)</f>
        <v>159489.49118400001</v>
      </c>
      <c r="F23" s="203">
        <v>62042.327501389511</v>
      </c>
      <c r="G23" s="203">
        <v>97447.163682610495</v>
      </c>
      <c r="H23" s="307"/>
      <c r="I23" s="203">
        <f t="shared" ref="I23:I28" si="6">SUM(J23:L23)</f>
        <v>323763.66710352001</v>
      </c>
      <c r="J23" s="203">
        <v>130734.30675223198</v>
      </c>
      <c r="K23" s="203">
        <v>193029.36035128805</v>
      </c>
      <c r="L23" s="307"/>
      <c r="M23" s="205">
        <v>492966.06830062601</v>
      </c>
      <c r="N23" s="205">
        <v>667244.54153364489</v>
      </c>
      <c r="O23" s="205">
        <v>846751.36896365439</v>
      </c>
      <c r="P23" s="205">
        <v>1031643.4012165641</v>
      </c>
      <c r="Q23" s="213" t="s">
        <v>202</v>
      </c>
    </row>
    <row r="24" spans="1:17" ht="37.5" customHeight="1" x14ac:dyDescent="0.2">
      <c r="A24" s="381"/>
      <c r="B24" s="209"/>
      <c r="C24" s="230" t="s">
        <v>203</v>
      </c>
      <c r="D24" s="189"/>
      <c r="E24" s="203">
        <f t="shared" si="5"/>
        <v>10606019.044210199</v>
      </c>
      <c r="F24" s="203">
        <v>4125802.2841625074</v>
      </c>
      <c r="G24" s="203">
        <v>6480216.7600476919</v>
      </c>
      <c r="H24" s="307"/>
      <c r="I24" s="203">
        <f t="shared" si="6"/>
        <v>21530218.659746699</v>
      </c>
      <c r="J24" s="203">
        <v>8693805.0704928879</v>
      </c>
      <c r="K24" s="203">
        <v>12836413.589253811</v>
      </c>
      <c r="L24" s="307"/>
      <c r="M24" s="205">
        <v>32782144.263749309</v>
      </c>
      <c r="N24" s="205">
        <v>44371627.635871992</v>
      </c>
      <c r="O24" s="205">
        <v>56308795.509158351</v>
      </c>
      <c r="P24" s="205">
        <v>68604078.418643296</v>
      </c>
      <c r="Q24" s="213" t="s">
        <v>202</v>
      </c>
    </row>
    <row r="25" spans="1:17" ht="38.25" x14ac:dyDescent="0.2">
      <c r="A25" s="381"/>
      <c r="B25" s="209"/>
      <c r="C25" s="230" t="s">
        <v>204</v>
      </c>
      <c r="D25" s="189"/>
      <c r="E25" s="203">
        <f t="shared" ref="E25:E27" si="7">SUM(F25:H25)</f>
        <v>-8550786.9523680005</v>
      </c>
      <c r="F25" s="203">
        <v>0</v>
      </c>
      <c r="G25" s="203">
        <v>-8550786.9523680005</v>
      </c>
      <c r="H25" s="307"/>
      <c r="I25" s="202">
        <f t="shared" ref="I25:I27" si="8">SUM(J25:L25)</f>
        <v>-17358097.513307001</v>
      </c>
      <c r="J25" s="203">
        <v>0</v>
      </c>
      <c r="K25" s="203">
        <v>-17358097.513307001</v>
      </c>
      <c r="L25" s="307"/>
      <c r="M25" s="205">
        <v>-26429627.391074244</v>
      </c>
      <c r="N25" s="205">
        <v>-35773303.165174469</v>
      </c>
      <c r="O25" s="205">
        <v>-45397289.212497704</v>
      </c>
      <c r="P25" s="205">
        <v>-55309994.84124063</v>
      </c>
      <c r="Q25" s="402" t="s">
        <v>205</v>
      </c>
    </row>
    <row r="26" spans="1:17" ht="37.5" customHeight="1" x14ac:dyDescent="0.2">
      <c r="A26" s="381"/>
      <c r="B26" s="209"/>
      <c r="C26" s="230" t="s">
        <v>206</v>
      </c>
      <c r="D26" s="189"/>
      <c r="E26" s="203">
        <f t="shared" si="7"/>
        <v>-1775350.5366539999</v>
      </c>
      <c r="F26" s="203">
        <v>0</v>
      </c>
      <c r="G26" s="203">
        <v>-1775350.5366539999</v>
      </c>
      <c r="H26" s="307"/>
      <c r="I26" s="202">
        <f t="shared" si="8"/>
        <v>-3603961.58940762</v>
      </c>
      <c r="J26" s="203">
        <v>0</v>
      </c>
      <c r="K26" s="203">
        <v>-3603961.58940762</v>
      </c>
      <c r="L26" s="307"/>
      <c r="M26" s="205">
        <v>-5487430.9737438448</v>
      </c>
      <c r="N26" s="205">
        <v>-7427404.439610159</v>
      </c>
      <c r="O26" s="205">
        <v>-9425577.1094524618</v>
      </c>
      <c r="P26" s="205">
        <v>-11483694.959390033</v>
      </c>
      <c r="Q26" s="402" t="s">
        <v>207</v>
      </c>
    </row>
    <row r="27" spans="1:17" ht="37.5" customHeight="1" x14ac:dyDescent="0.2">
      <c r="A27" s="381"/>
      <c r="B27" s="209"/>
      <c r="C27" s="230" t="s">
        <v>208</v>
      </c>
      <c r="D27" s="189"/>
      <c r="E27" s="203">
        <f t="shared" si="7"/>
        <v>-4324785.7807881003</v>
      </c>
      <c r="F27" s="203">
        <v>0</v>
      </c>
      <c r="G27" s="203">
        <v>-4324785.7807881003</v>
      </c>
      <c r="H27" s="307"/>
      <c r="I27" s="202">
        <f t="shared" si="8"/>
        <v>-8779315.1349998508</v>
      </c>
      <c r="J27" s="203">
        <v>0</v>
      </c>
      <c r="K27" s="203">
        <v>-8779315.1349998508</v>
      </c>
      <c r="L27" s="307"/>
      <c r="M27" s="205">
        <v>-13367480.369837947</v>
      </c>
      <c r="N27" s="205">
        <v>-18093290.561721187</v>
      </c>
      <c r="O27" s="205">
        <v>-22960875.059360925</v>
      </c>
      <c r="P27" s="205">
        <v>-27974487.091929857</v>
      </c>
      <c r="Q27" s="402" t="s">
        <v>209</v>
      </c>
    </row>
    <row r="28" spans="1:17" ht="37.5" customHeight="1" x14ac:dyDescent="0.2">
      <c r="A28" s="381"/>
      <c r="B28" s="209"/>
      <c r="C28" s="230" t="s">
        <v>210</v>
      </c>
      <c r="D28" s="189"/>
      <c r="E28" s="203">
        <f t="shared" si="5"/>
        <v>762798.04650000005</v>
      </c>
      <c r="F28" s="203">
        <v>0</v>
      </c>
      <c r="G28" s="203">
        <v>762798.04650000005</v>
      </c>
      <c r="H28" s="307"/>
      <c r="I28" s="202">
        <f t="shared" si="6"/>
        <v>1548480.034395</v>
      </c>
      <c r="J28" s="203">
        <v>0</v>
      </c>
      <c r="K28" s="203">
        <v>1548480.034395</v>
      </c>
      <c r="L28" s="307"/>
      <c r="M28" s="205">
        <v>2357732.4819268491</v>
      </c>
      <c r="N28" s="205">
        <v>3191262.5028846543</v>
      </c>
      <c r="O28" s="205">
        <v>4049798.4244711939</v>
      </c>
      <c r="P28" s="205">
        <v>4934090.4237053292</v>
      </c>
      <c r="Q28" s="213" t="s">
        <v>202</v>
      </c>
    </row>
    <row r="29" spans="1:17" ht="37.5" customHeight="1" x14ac:dyDescent="0.2">
      <c r="A29" s="381"/>
      <c r="B29" s="212"/>
      <c r="C29" s="230" t="s">
        <v>211</v>
      </c>
      <c r="D29" s="388"/>
      <c r="E29" s="203">
        <f>'6-GF Request'!D18</f>
        <v>1522691.4479999978</v>
      </c>
      <c r="F29" s="203">
        <v>617652.51845794788</v>
      </c>
      <c r="G29" s="203">
        <f>E29-F29</f>
        <v>905038.92954204988</v>
      </c>
      <c r="H29" s="307"/>
      <c r="I29" s="202">
        <f>'6-GF Request'!D18+'6-GF Request'!F18</f>
        <v>3091063.6394399954</v>
      </c>
      <c r="J29" s="203">
        <v>973562.88061194809</v>
      </c>
      <c r="K29" s="203">
        <f>I29-J29</f>
        <v>2117500.7588280472</v>
      </c>
      <c r="L29" s="307"/>
      <c r="M29" s="205">
        <f>+I29*1.03</f>
        <v>3183795.5486231954</v>
      </c>
      <c r="N29" s="205">
        <f>+M29*1.03</f>
        <v>3279309.4150818912</v>
      </c>
      <c r="O29" s="205">
        <f>+N29*1.03</f>
        <v>3377688.6975343479</v>
      </c>
      <c r="P29" s="205">
        <f>+O29*1.03</f>
        <v>3479019.3584603784</v>
      </c>
      <c r="Q29" s="213" t="s">
        <v>202</v>
      </c>
    </row>
    <row r="30" spans="1:17" ht="20.100000000000001" customHeight="1" x14ac:dyDescent="0.2">
      <c r="A30" s="381"/>
      <c r="B30" s="210" t="s">
        <v>212</v>
      </c>
      <c r="C30" s="315"/>
      <c r="D30" s="190"/>
      <c r="E30" s="187"/>
      <c r="F30" s="187"/>
      <c r="G30" s="187"/>
      <c r="H30" s="194"/>
      <c r="I30" s="193"/>
      <c r="J30" s="187"/>
      <c r="K30" s="187"/>
      <c r="L30" s="194"/>
      <c r="M30" s="195"/>
      <c r="N30" s="195"/>
      <c r="O30" s="195"/>
      <c r="P30" s="195"/>
      <c r="Q30" s="211"/>
    </row>
    <row r="31" spans="1:17" ht="37.5" customHeight="1" x14ac:dyDescent="0.2">
      <c r="A31" s="381"/>
      <c r="B31" s="209"/>
      <c r="C31" s="314" t="s">
        <v>213</v>
      </c>
      <c r="D31" s="189"/>
      <c r="E31" s="203">
        <f t="shared" ref="E31:E32" si="9">SUM(F31:H31)</f>
        <v>3675861.5437746202</v>
      </c>
      <c r="F31" s="203">
        <f>0</f>
        <v>0</v>
      </c>
      <c r="G31" s="203">
        <f>+'3-Financial Aid'!C38+'3-Financial Aid'!C40+'3-Financial Aid'!C42-'3-Financial Aid'!C25-'3-Financial Aid'!C27-'3-Financial Aid'!C29</f>
        <v>3675861.5437746202</v>
      </c>
      <c r="H31" s="307"/>
      <c r="I31" s="202">
        <f t="shared" ref="I31:I32" si="10">SUM(J31:L31)</f>
        <v>6206189.0376601461</v>
      </c>
      <c r="J31" s="203"/>
      <c r="K31" s="203">
        <f>+'3-Financial Aid'!C51+'3-Financial Aid'!C53+'3-Financial Aid'!C55-'3-Financial Aid'!C38-'3-Financial Aid'!C40-'3-Financial Aid'!C42+G31</f>
        <v>6206189.0376601461</v>
      </c>
      <c r="L31" s="307"/>
      <c r="M31" s="205">
        <f>J31+K31+'3-Financial Aid'!C64+'3-Financial Aid'!C66+'3-Financial Aid'!C68-'3-Financial Aid'!C51-'3-Financial Aid'!C53-'3-Financial Aid'!C55</f>
        <v>8683988.9631073102</v>
      </c>
      <c r="N31" s="205">
        <f>+M31+'3-Financial Aid'!C77+'3-Financial Aid'!C79+'3-Financial Aid'!C81-'3-Financial Aid'!C64-'3-Financial Aid'!C66-'3-Financial Aid'!C68</f>
        <v>11252460.313503824</v>
      </c>
      <c r="O31" s="205">
        <f>+N31+'3-Financial Aid'!C90+'3-Financial Aid'!C92+'3-Financial Aid'!C94-'3-Financial Aid'!C77-'3-Financial Aid'!C79-'3-Financial Aid'!C81</f>
        <v>12159128.868151641</v>
      </c>
      <c r="P31" s="205">
        <f>+O31+'3-Financial Aid'!C103+'3-Financial Aid'!C105+'3-Financial Aid'!C107-'3-Financial Aid'!C90-'3-Financial Aid'!C92-'3-Financial Aid'!C94</f>
        <v>12956885.804063192</v>
      </c>
      <c r="Q31" s="402" t="s">
        <v>214</v>
      </c>
    </row>
    <row r="32" spans="1:17" ht="37.5" customHeight="1" x14ac:dyDescent="0.2">
      <c r="A32" s="382"/>
      <c r="B32" s="209"/>
      <c r="C32" s="314" t="s">
        <v>215</v>
      </c>
      <c r="D32" s="189"/>
      <c r="E32" s="203">
        <f t="shared" si="9"/>
        <v>6626644.3804854099</v>
      </c>
      <c r="F32" s="203">
        <f>0</f>
        <v>0</v>
      </c>
      <c r="G32" s="203">
        <f>+'3-Financial Aid'!C39+'3-Financial Aid'!C41+'3-Financial Aid'!C43-'3-Financial Aid'!C26-'3-Financial Aid'!C28-'3-Financial Aid'!C30</f>
        <v>6626644.3804854099</v>
      </c>
      <c r="H32" s="307"/>
      <c r="I32" s="202">
        <f t="shared" si="10"/>
        <v>11834937.848587666</v>
      </c>
      <c r="J32" s="203"/>
      <c r="K32" s="203">
        <f>+'3-Financial Aid'!C52+'3-Financial Aid'!C54+'3-Financial Aid'!C56-'3-Financial Aid'!C39-'3-Financial Aid'!C41-'3-Financial Aid'!C43+G32</f>
        <v>11834937.848587666</v>
      </c>
      <c r="L32" s="307"/>
      <c r="M32" s="205">
        <f>J32+K32+'3-Financial Aid'!C65+'3-Financial Aid'!C67+'3-Financial Aid'!C69-'3-Financial Aid'!C52-'3-Financial Aid'!C54-'3-Financial Aid'!C56</f>
        <v>16059983.10593644</v>
      </c>
      <c r="N32" s="205">
        <f>+M32+'3-Financial Aid'!C78+'3-Financial Aid'!C80+'3-Financial Aid'!C82-'3-Financial Aid'!C65-'3-Financial Aid'!C67-'3-Financial Aid'!C69</f>
        <v>20381166.745829046</v>
      </c>
      <c r="O32" s="205">
        <f>+N32+'3-Financial Aid'!C91+'3-Financial Aid'!C93+'3-Financial Aid'!C95-'3-Financial Aid'!C78-'3-Financial Aid'!C80-'3-Financial Aid'!C82</f>
        <v>22472354.514471527</v>
      </c>
      <c r="P32" s="205">
        <f>+O32+'3-Financial Aid'!C104+'3-Financial Aid'!C106+'3-Financial Aid'!C108-'3-Financial Aid'!C91-'3-Financial Aid'!C93-'3-Financial Aid'!C95</f>
        <v>24429395.983521495</v>
      </c>
      <c r="Q32" s="213"/>
    </row>
    <row r="33" spans="1:17" ht="20.100000000000001" customHeight="1" x14ac:dyDescent="0.2">
      <c r="A33" s="381"/>
      <c r="B33" s="210" t="s">
        <v>216</v>
      </c>
      <c r="C33" s="315"/>
      <c r="D33" s="190"/>
      <c r="E33" s="193"/>
      <c r="F33" s="187"/>
      <c r="G33" s="187"/>
      <c r="H33" s="194"/>
      <c r="I33" s="193"/>
      <c r="J33" s="187"/>
      <c r="K33" s="187"/>
      <c r="L33" s="194"/>
      <c r="M33" s="195"/>
      <c r="N33" s="195"/>
      <c r="O33" s="195"/>
      <c r="P33" s="195"/>
      <c r="Q33" s="211"/>
    </row>
    <row r="34" spans="1:17" ht="37.5" customHeight="1" x14ac:dyDescent="0.2">
      <c r="A34" s="381"/>
      <c r="B34" s="200"/>
      <c r="C34" s="314" t="str">
        <f>+'6-GF Request'!B11</f>
        <v>Workforce Development and Internships</v>
      </c>
      <c r="D34" s="189"/>
      <c r="E34" s="203">
        <v>500000</v>
      </c>
      <c r="F34" s="203">
        <v>194502.86987815532</v>
      </c>
      <c r="G34" s="203">
        <v>305497.1301218447</v>
      </c>
      <c r="H34" s="307"/>
      <c r="I34" s="202">
        <f t="shared" ref="I34" si="11">SUM(J34:L34)</f>
        <v>1000000</v>
      </c>
      <c r="J34" s="203">
        <f>201897.74214293+F34</f>
        <v>396400.61202108534</v>
      </c>
      <c r="K34" s="203">
        <f>298102.25785707+G34</f>
        <v>603599.38797891466</v>
      </c>
      <c r="L34" s="307"/>
      <c r="M34" s="205">
        <f>+I34*1.03</f>
        <v>1030000</v>
      </c>
      <c r="N34" s="205">
        <f>+M34*1.03</f>
        <v>1060900</v>
      </c>
      <c r="O34" s="205">
        <f>+N34*1.03</f>
        <v>1092727</v>
      </c>
      <c r="P34" s="205">
        <f>+O34*1.03</f>
        <v>1125508.81</v>
      </c>
      <c r="Q34" s="402" t="s">
        <v>217</v>
      </c>
    </row>
    <row r="35" spans="1:17" ht="20.100000000000001" customHeight="1" x14ac:dyDescent="0.2">
      <c r="A35" s="381"/>
      <c r="B35" s="210" t="s">
        <v>218</v>
      </c>
      <c r="C35" s="315"/>
      <c r="D35" s="190"/>
      <c r="E35" s="193"/>
      <c r="F35" s="187"/>
      <c r="G35" s="187"/>
      <c r="H35" s="194"/>
      <c r="I35" s="193"/>
      <c r="J35" s="187"/>
      <c r="K35" s="187"/>
      <c r="L35" s="194"/>
      <c r="M35" s="195"/>
      <c r="N35" s="195"/>
      <c r="O35" s="195"/>
      <c r="P35" s="195"/>
      <c r="Q35" s="211"/>
    </row>
    <row r="36" spans="1:17" ht="37.5" customHeight="1" x14ac:dyDescent="0.2">
      <c r="A36" s="381"/>
      <c r="B36" s="212"/>
      <c r="C36" s="230" t="s">
        <v>219</v>
      </c>
      <c r="D36" s="189"/>
      <c r="E36" s="202">
        <f t="shared" ref="E36:E37" si="12">SUM(F36:H36)</f>
        <v>582635</v>
      </c>
      <c r="F36" s="203">
        <f>0</f>
        <v>0</v>
      </c>
      <c r="G36" s="203">
        <f>('6-GF Request'!D12)</f>
        <v>582635</v>
      </c>
      <c r="H36" s="307"/>
      <c r="I36" s="202">
        <f t="shared" ref="I36" si="13">SUM(J36:L36)</f>
        <v>594287.69999999995</v>
      </c>
      <c r="J36" s="203">
        <f>0</f>
        <v>0</v>
      </c>
      <c r="K36" s="203">
        <f>('6-GF Request'!F12)</f>
        <v>594287.69999999995</v>
      </c>
      <c r="L36" s="307"/>
      <c r="M36" s="205">
        <f t="shared" ref="M36:M37" si="14">+I36*1.03</f>
        <v>612116.33100000001</v>
      </c>
      <c r="N36" s="205">
        <f t="shared" ref="N36:P37" si="15">+M36*1.03</f>
        <v>630479.82093000005</v>
      </c>
      <c r="O36" s="205">
        <f t="shared" si="15"/>
        <v>649394.21555790002</v>
      </c>
      <c r="P36" s="205">
        <f t="shared" si="15"/>
        <v>668876.04202463699</v>
      </c>
      <c r="Q36" s="213"/>
    </row>
    <row r="37" spans="1:17" ht="37.5" customHeight="1" x14ac:dyDescent="0.2">
      <c r="A37" s="381"/>
      <c r="B37" s="212"/>
      <c r="C37" s="230" t="str">
        <f>+'6-GF Request'!B15</f>
        <v>Virginia Military Survivors and Dependents Education Program (VMSDEP)</v>
      </c>
      <c r="D37" s="189"/>
      <c r="E37" s="202">
        <f t="shared" si="12"/>
        <v>6760232.7410000004</v>
      </c>
      <c r="F37" s="203">
        <f>0</f>
        <v>0</v>
      </c>
      <c r="G37" s="203">
        <f>('6-GF Request'!D15)</f>
        <v>6760232.7410000004</v>
      </c>
      <c r="H37" s="307"/>
      <c r="I37" s="202">
        <f t="shared" ref="I37" si="16">SUM(J37:L37)</f>
        <v>8051771.7644600011</v>
      </c>
      <c r="J37" s="203">
        <f>0</f>
        <v>0</v>
      </c>
      <c r="K37" s="203">
        <f>('6-GF Request'!F15)</f>
        <v>8051771.7644600011</v>
      </c>
      <c r="L37" s="307"/>
      <c r="M37" s="205">
        <f t="shared" si="14"/>
        <v>8293324.9173938017</v>
      </c>
      <c r="N37" s="205">
        <f t="shared" si="15"/>
        <v>8542124.6649156157</v>
      </c>
      <c r="O37" s="205">
        <f t="shared" si="15"/>
        <v>8798388.4048630837</v>
      </c>
      <c r="P37" s="205">
        <f t="shared" si="15"/>
        <v>9062340.0570089761</v>
      </c>
      <c r="Q37" s="402" t="s">
        <v>220</v>
      </c>
    </row>
    <row r="38" spans="1:17" ht="49.9" customHeight="1" x14ac:dyDescent="0.2">
      <c r="A38" s="381"/>
      <c r="B38" s="212"/>
      <c r="C38" s="230" t="str">
        <f>+'6-GF Request'!B14</f>
        <v>Strategic Infrastructure for Translation and Commercialization of Scientific Research</v>
      </c>
      <c r="D38" s="189"/>
      <c r="E38" s="412">
        <v>11540000</v>
      </c>
      <c r="F38" s="413">
        <v>11540000</v>
      </c>
      <c r="G38" s="203">
        <v>0</v>
      </c>
      <c r="H38" s="307"/>
      <c r="I38" s="412">
        <f>SUM(J38:L38)</f>
        <v>11540000</v>
      </c>
      <c r="J38" s="413">
        <f>('6-GF Request'!F14)</f>
        <v>11540000</v>
      </c>
      <c r="K38" s="203">
        <v>0</v>
      </c>
      <c r="L38" s="307"/>
      <c r="M38" s="205">
        <f>+I38*1.03</f>
        <v>11886200</v>
      </c>
      <c r="N38" s="205">
        <f t="shared" ref="N38:P38" si="17">+M38*1.03</f>
        <v>12242786</v>
      </c>
      <c r="O38" s="205">
        <f t="shared" si="17"/>
        <v>12610069.58</v>
      </c>
      <c r="P38" s="205">
        <f t="shared" si="17"/>
        <v>12988371.667400001</v>
      </c>
      <c r="Q38" s="402" t="s">
        <v>221</v>
      </c>
    </row>
    <row r="39" spans="1:17" ht="20.100000000000001" customHeight="1" x14ac:dyDescent="0.2">
      <c r="A39" s="381"/>
      <c r="B39" s="210" t="s">
        <v>222</v>
      </c>
      <c r="C39" s="315"/>
      <c r="D39" s="190"/>
      <c r="E39" s="193"/>
      <c r="F39" s="187"/>
      <c r="G39" s="187"/>
      <c r="H39" s="194"/>
      <c r="I39" s="193"/>
      <c r="J39" s="187"/>
      <c r="K39" s="187"/>
      <c r="L39" s="194"/>
      <c r="M39" s="195"/>
      <c r="N39" s="195"/>
      <c r="O39" s="195"/>
      <c r="P39" s="195"/>
      <c r="Q39" s="211"/>
    </row>
    <row r="40" spans="1:17" ht="64.5" thickBot="1" x14ac:dyDescent="0.25">
      <c r="A40" s="381"/>
      <c r="B40" s="212"/>
      <c r="C40" s="401" t="s">
        <v>223</v>
      </c>
      <c r="D40" s="189"/>
      <c r="E40" s="202">
        <f>SUM(F40:H40)</f>
        <v>2635473.9500000002</v>
      </c>
      <c r="F40" s="203">
        <f>0</f>
        <v>0</v>
      </c>
      <c r="G40" s="203">
        <f>('6-GF Request'!D17)</f>
        <v>2635473.9500000002</v>
      </c>
      <c r="H40" s="307"/>
      <c r="I40" s="202">
        <f>SUM(J40:L40)</f>
        <v>5178008.1500000004</v>
      </c>
      <c r="J40" s="203">
        <f>0</f>
        <v>0</v>
      </c>
      <c r="K40" s="203">
        <f>'[1]Support per Blake'!$M$25+'[1]Support per Blake'!$M$26+'[1]Support per Blake'!$M$27+'[1]Support per Blake'!$M$28</f>
        <v>5178008.1500000004</v>
      </c>
      <c r="L40" s="307"/>
      <c r="M40" s="205">
        <v>6882458.3945000004</v>
      </c>
      <c r="N40" s="205">
        <v>14971507.146335</v>
      </c>
      <c r="O40" s="205">
        <f>+N40*1.03</f>
        <v>15420652.360725051</v>
      </c>
      <c r="P40" s="205">
        <f>+O40*1.03</f>
        <v>15883271.931546804</v>
      </c>
      <c r="Q40" s="402" t="s">
        <v>224</v>
      </c>
    </row>
    <row r="41" spans="1:17" ht="15.75" x14ac:dyDescent="0.2">
      <c r="B41" s="201" t="s">
        <v>225</v>
      </c>
      <c r="C41" s="316"/>
      <c r="D41" s="214"/>
      <c r="E41" s="215">
        <f t="shared" ref="E41:P41" si="18">SUM(E12:E40)</f>
        <v>74954165.04877533</v>
      </c>
      <c r="F41" s="216">
        <f t="shared" si="18"/>
        <v>16540000</v>
      </c>
      <c r="G41" s="216">
        <f t="shared" si="18"/>
        <v>54557947.01349242</v>
      </c>
      <c r="H41" s="217">
        <f t="shared" si="18"/>
        <v>3856218.0352829052</v>
      </c>
      <c r="I41" s="215">
        <f t="shared" si="18"/>
        <v>115459207.1257804</v>
      </c>
      <c r="J41" s="216">
        <f t="shared" si="18"/>
        <v>21734502.869878154</v>
      </c>
      <c r="K41" s="216">
        <f t="shared" si="18"/>
        <v>85935143.444630787</v>
      </c>
      <c r="L41" s="217">
        <f t="shared" si="18"/>
        <v>7789560.8112714682</v>
      </c>
      <c r="M41" s="218">
        <f t="shared" si="18"/>
        <v>151993494.42272815</v>
      </c>
      <c r="N41" s="218">
        <f t="shared" si="18"/>
        <v>195682433.4141497</v>
      </c>
      <c r="O41" s="218">
        <f t="shared" si="18"/>
        <v>228439158.31287077</v>
      </c>
      <c r="P41" s="218">
        <f t="shared" si="18"/>
        <v>261541910.06220281</v>
      </c>
      <c r="Q41" s="219"/>
    </row>
    <row r="42" spans="1:17" ht="15" x14ac:dyDescent="0.2">
      <c r="B42" s="175"/>
      <c r="C42" s="317"/>
      <c r="D42" s="220"/>
      <c r="E42" s="220"/>
      <c r="F42" s="220"/>
      <c r="G42" s="220"/>
    </row>
    <row r="43" spans="1:17" ht="15.75" x14ac:dyDescent="0.2">
      <c r="B43" s="220"/>
      <c r="C43" s="317"/>
      <c r="D43" s="220"/>
      <c r="E43" s="220"/>
      <c r="G43" s="220"/>
      <c r="H43" s="220"/>
      <c r="I43" s="221"/>
      <c r="J43" s="222"/>
      <c r="K43" s="222"/>
      <c r="L43" s="181"/>
      <c r="M43" s="222"/>
      <c r="N43" s="222"/>
      <c r="O43" s="222"/>
    </row>
    <row r="44" spans="1:17" ht="66" customHeight="1" x14ac:dyDescent="0.2">
      <c r="B44" s="220"/>
      <c r="I44" s="485" t="s">
        <v>226</v>
      </c>
      <c r="J44" s="486"/>
      <c r="K44" s="305"/>
    </row>
    <row r="45" spans="1:17" ht="15.75" x14ac:dyDescent="0.2">
      <c r="I45" s="173" t="s">
        <v>173</v>
      </c>
      <c r="J45" s="174" t="s">
        <v>174</v>
      </c>
      <c r="K45" s="181"/>
    </row>
    <row r="46" spans="1:17" ht="15" x14ac:dyDescent="0.2">
      <c r="I46" s="223">
        <f>G41-('2-Revenue'!E24-'2-Revenue'!C24)</f>
        <v>33957843.12146838</v>
      </c>
      <c r="J46" s="224">
        <f>K41-('2-Revenue'!G24-'2-Revenue'!C24)</f>
        <v>39960980.41528587</v>
      </c>
      <c r="K46" s="306"/>
    </row>
    <row r="47" spans="1:17" ht="69.75" customHeight="1" x14ac:dyDescent="0.2">
      <c r="G47" s="304"/>
      <c r="H47" s="404" t="s">
        <v>227</v>
      </c>
      <c r="I47" s="483" t="s">
        <v>228</v>
      </c>
      <c r="J47" s="484"/>
    </row>
    <row r="50" spans="5:16" x14ac:dyDescent="0.2">
      <c r="G50" s="382"/>
      <c r="H50" s="382"/>
      <c r="I50" s="382"/>
      <c r="J50" s="382"/>
      <c r="K50" s="382"/>
      <c r="L50" s="382"/>
      <c r="M50" s="382"/>
      <c r="N50" s="382"/>
      <c r="O50" s="382"/>
      <c r="P50" s="382"/>
    </row>
    <row r="51" spans="5:16" x14ac:dyDescent="0.2">
      <c r="E51" s="382"/>
      <c r="F51" s="382"/>
      <c r="G51" s="382"/>
      <c r="H51" s="382"/>
      <c r="I51" s="382"/>
      <c r="J51" s="382"/>
      <c r="K51" s="382"/>
      <c r="L51" s="382"/>
      <c r="M51" s="382"/>
      <c r="N51" s="382"/>
      <c r="O51" s="382"/>
      <c r="P51" s="382"/>
    </row>
    <row r="52" spans="5:16" x14ac:dyDescent="0.2">
      <c r="E52" s="386"/>
      <c r="F52" s="386"/>
      <c r="G52" s="386"/>
      <c r="H52" s="386"/>
      <c r="I52" s="386"/>
      <c r="J52" s="386"/>
      <c r="K52" s="386"/>
      <c r="L52" s="386"/>
      <c r="M52" s="386"/>
      <c r="N52" s="386"/>
      <c r="O52" s="386"/>
      <c r="P52" s="386"/>
    </row>
    <row r="53" spans="5:16" x14ac:dyDescent="0.2">
      <c r="E53" s="398"/>
      <c r="F53" s="398"/>
      <c r="G53" s="398"/>
      <c r="H53" s="398"/>
      <c r="I53" s="398"/>
      <c r="J53" s="398"/>
      <c r="K53" s="398"/>
      <c r="L53" s="398"/>
      <c r="M53" s="398"/>
      <c r="N53" s="398"/>
      <c r="O53" s="398"/>
      <c r="P53" s="398"/>
    </row>
    <row r="55" spans="5:16" x14ac:dyDescent="0.2">
      <c r="H55" s="385"/>
    </row>
    <row r="56" spans="5:16" x14ac:dyDescent="0.2">
      <c r="H56" s="385"/>
    </row>
    <row r="57" spans="5:16" x14ac:dyDescent="0.2">
      <c r="H57" s="385"/>
      <c r="I57" s="384"/>
    </row>
  </sheetData>
  <sheetProtection insertRows="0" selectLockedCells="1" selectUnlockedCells="1"/>
  <mergeCells count="10">
    <mergeCell ref="I47:J47"/>
    <mergeCell ref="I44:J44"/>
    <mergeCell ref="B9:C9"/>
    <mergeCell ref="A2:J2"/>
    <mergeCell ref="A3:Q3"/>
    <mergeCell ref="B4:D4"/>
    <mergeCell ref="E9:H9"/>
    <mergeCell ref="I9:L9"/>
    <mergeCell ref="Q9:Q10"/>
    <mergeCell ref="E8:P8"/>
  </mergeCells>
  <phoneticPr fontId="10" type="noConversion"/>
  <pageMargins left="0.25" right="0.25" top="0.75" bottom="0.75" header="0.3" footer="0.3"/>
  <pageSetup paperSize="17" scale="55" fitToHeight="0" orientation="landscape" r:id="rId1"/>
  <rowBreaks count="1" manualBreakCount="1">
    <brk id="29"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heetViews>
  <sheetFormatPr defaultColWidth="8.7109375" defaultRowHeight="15.75" x14ac:dyDescent="0.25"/>
  <cols>
    <col min="1" max="1" width="34.5703125" style="358" customWidth="1"/>
    <col min="2" max="16384" width="8.7109375" style="358"/>
  </cols>
  <sheetData>
    <row r="1" spans="1:2" x14ac:dyDescent="0.25">
      <c r="A1" s="365" t="s">
        <v>229</v>
      </c>
    </row>
    <row r="2" spans="1:2" x14ac:dyDescent="0.25">
      <c r="A2" s="357"/>
      <c r="B2" s="363" t="s">
        <v>230</v>
      </c>
    </row>
    <row r="3" spans="1:2" x14ac:dyDescent="0.25">
      <c r="A3" s="359" t="s">
        <v>231</v>
      </c>
      <c r="B3" s="364" t="s">
        <v>232</v>
      </c>
    </row>
    <row r="4" spans="1:2" x14ac:dyDescent="0.25">
      <c r="A4" s="360" t="s">
        <v>233</v>
      </c>
      <c r="B4" s="361">
        <v>0.60499999999999998</v>
      </c>
    </row>
    <row r="5" spans="1:2" x14ac:dyDescent="0.25">
      <c r="A5" s="360" t="s">
        <v>234</v>
      </c>
      <c r="B5" s="361">
        <v>0.497</v>
      </c>
    </row>
    <row r="6" spans="1:2" x14ac:dyDescent="0.25">
      <c r="A6" s="360" t="s">
        <v>235</v>
      </c>
      <c r="B6" s="361">
        <v>0.51400000000000001</v>
      </c>
    </row>
    <row r="7" spans="1:2" x14ac:dyDescent="0.25">
      <c r="A7" s="360" t="s">
        <v>236</v>
      </c>
      <c r="B7" s="361">
        <v>0.60299999999999998</v>
      </c>
    </row>
    <row r="8" spans="1:2" x14ac:dyDescent="0.25">
      <c r="A8" s="360" t="s">
        <v>237</v>
      </c>
      <c r="B8" s="361">
        <v>0.48199999999999998</v>
      </c>
    </row>
    <row r="9" spans="1:2" x14ac:dyDescent="0.25">
      <c r="A9" s="360" t="s">
        <v>238</v>
      </c>
      <c r="B9" s="361">
        <v>0.56299999999999994</v>
      </c>
    </row>
    <row r="10" spans="1:2" x14ac:dyDescent="0.25">
      <c r="A10" s="360" t="s">
        <v>239</v>
      </c>
      <c r="B10" s="361">
        <v>0.59</v>
      </c>
    </row>
    <row r="11" spans="1:2" x14ac:dyDescent="0.25">
      <c r="A11" s="360" t="s">
        <v>240</v>
      </c>
      <c r="B11" s="361">
        <v>0.59399999999999997</v>
      </c>
    </row>
    <row r="12" spans="1:2" x14ac:dyDescent="0.25">
      <c r="A12" s="360" t="s">
        <v>64</v>
      </c>
      <c r="B12" s="361">
        <v>0.313</v>
      </c>
    </row>
    <row r="13" spans="1:2" x14ac:dyDescent="0.25">
      <c r="A13" s="360" t="s">
        <v>241</v>
      </c>
      <c r="B13" s="361">
        <v>0.56899999999999995</v>
      </c>
    </row>
    <row r="14" spans="1:2" x14ac:dyDescent="0.25">
      <c r="A14" s="360" t="s">
        <v>242</v>
      </c>
      <c r="B14" s="361">
        <v>0.504</v>
      </c>
    </row>
    <row r="15" spans="1:2" x14ac:dyDescent="0.25">
      <c r="A15" s="360" t="s">
        <v>243</v>
      </c>
      <c r="B15" s="361">
        <v>0.42099999999999999</v>
      </c>
    </row>
    <row r="16" spans="1:2" x14ac:dyDescent="0.25">
      <c r="A16" s="360" t="s">
        <v>244</v>
      </c>
      <c r="B16" s="361">
        <v>0.47099999999999997</v>
      </c>
    </row>
    <row r="17" spans="1:2" x14ac:dyDescent="0.25">
      <c r="A17" s="360" t="s">
        <v>245</v>
      </c>
      <c r="B17" s="361">
        <v>0.38200000000000001</v>
      </c>
    </row>
    <row r="18" spans="1:2" x14ac:dyDescent="0.25">
      <c r="A18" s="360" t="s">
        <v>246</v>
      </c>
      <c r="B18" s="361">
        <v>0.38200000000000001</v>
      </c>
    </row>
    <row r="19" spans="1:2" x14ac:dyDescent="0.25">
      <c r="A19" s="360" t="s">
        <v>247</v>
      </c>
      <c r="B19" s="361">
        <v>0.62</v>
      </c>
    </row>
    <row r="20" spans="1:2" x14ac:dyDescent="0.25">
      <c r="A20" s="360" t="s">
        <v>248</v>
      </c>
      <c r="B20" s="361">
        <v>0.628</v>
      </c>
    </row>
    <row r="21" spans="1:2" x14ac:dyDescent="0.25">
      <c r="A21" s="360" t="s">
        <v>249</v>
      </c>
      <c r="B21" s="361">
        <v>0.48199999999999998</v>
      </c>
    </row>
    <row r="22" spans="1:2" x14ac:dyDescent="0.25">
      <c r="A22" s="362" t="s">
        <v>250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pageSetUpPr fitToPage="1"/>
  </sheetPr>
  <dimension ref="A1:T42"/>
  <sheetViews>
    <sheetView zoomScaleNormal="100" workbookViewId="0">
      <selection activeCell="B7" sqref="B7"/>
    </sheetView>
  </sheetViews>
  <sheetFormatPr defaultRowHeight="12.75" x14ac:dyDescent="0.2"/>
  <cols>
    <col min="1" max="1" width="9.140625" style="158"/>
    <col min="2" max="2" width="47.42578125" customWidth="1"/>
    <col min="3" max="3" width="20.28515625" bestFit="1" customWidth="1"/>
    <col min="4" max="4" width="20.42578125" bestFit="1" customWidth="1"/>
    <col min="5" max="5" width="8.5703125" bestFit="1" customWidth="1"/>
    <col min="6" max="6" width="16.42578125" customWidth="1"/>
    <col min="7" max="7" width="7" customWidth="1"/>
    <col min="8" max="8" width="16.42578125" customWidth="1"/>
    <col min="9" max="9" width="7.7109375" customWidth="1"/>
    <col min="10" max="10" width="16.42578125" customWidth="1"/>
    <col min="11" max="11" width="8.5703125" customWidth="1"/>
    <col min="12" max="12" width="16.42578125" customWidth="1"/>
    <col min="13" max="13" width="8.5703125" bestFit="1" customWidth="1"/>
    <col min="14" max="14" width="16.42578125" customWidth="1"/>
    <col min="15" max="15" width="7" customWidth="1"/>
    <col min="16" max="16" width="16.42578125" customWidth="1"/>
    <col min="17" max="17" width="7" customWidth="1"/>
    <col min="18" max="18" width="13.85546875" bestFit="1" customWidth="1"/>
    <col min="19" max="19" width="15.7109375" bestFit="1" customWidth="1"/>
    <col min="20" max="20" width="9.140625" style="158"/>
  </cols>
  <sheetData>
    <row r="1" spans="1:20" ht="23.25" x14ac:dyDescent="0.2">
      <c r="A1" s="282" t="s">
        <v>251</v>
      </c>
      <c r="B1" s="283"/>
      <c r="C1" s="283"/>
      <c r="D1" s="283"/>
      <c r="E1" s="283"/>
      <c r="F1" s="283"/>
      <c r="G1" s="283"/>
      <c r="H1" s="284"/>
      <c r="I1" s="285"/>
      <c r="J1" s="285"/>
      <c r="K1" s="285"/>
      <c r="L1" s="285"/>
      <c r="M1" s="285"/>
      <c r="N1" s="285"/>
      <c r="O1" s="285"/>
      <c r="P1" s="285"/>
      <c r="Q1" s="285"/>
      <c r="R1" s="285"/>
      <c r="S1" s="285"/>
      <c r="T1" s="286"/>
    </row>
    <row r="2" spans="1:20" ht="23.25" x14ac:dyDescent="0.2">
      <c r="A2" s="503" t="str">
        <f>'Institution ID'!C3</f>
        <v>University of Virginia</v>
      </c>
      <c r="B2" s="489"/>
      <c r="C2" s="489"/>
      <c r="D2" s="489"/>
      <c r="E2" s="489"/>
      <c r="F2" s="489"/>
      <c r="G2" s="489"/>
      <c r="H2" s="231"/>
      <c r="I2" s="158"/>
      <c r="J2" s="158"/>
      <c r="K2" s="158"/>
      <c r="L2" s="158"/>
      <c r="M2" s="158"/>
      <c r="N2" s="158"/>
      <c r="O2" s="158"/>
      <c r="P2" s="158"/>
      <c r="Q2" s="158"/>
      <c r="R2" s="158"/>
      <c r="S2" s="158"/>
      <c r="T2" s="287"/>
    </row>
    <row r="3" spans="1:20" ht="12.75" customHeight="1" x14ac:dyDescent="0.2">
      <c r="A3" s="505" t="s">
        <v>252</v>
      </c>
      <c r="B3" s="506"/>
      <c r="C3" s="506"/>
      <c r="D3" s="506"/>
      <c r="E3" s="506"/>
      <c r="F3" s="506"/>
      <c r="G3" s="506"/>
      <c r="H3" s="506"/>
      <c r="I3" s="506"/>
      <c r="J3" s="506"/>
      <c r="K3" s="506"/>
      <c r="L3" s="506"/>
      <c r="M3" s="506"/>
      <c r="N3" s="506"/>
      <c r="O3" s="506"/>
      <c r="P3" s="506"/>
      <c r="Q3" s="506"/>
      <c r="R3" s="506"/>
      <c r="S3" s="506"/>
      <c r="T3" s="287"/>
    </row>
    <row r="4" spans="1:20" ht="102.75" customHeight="1" x14ac:dyDescent="0.2">
      <c r="A4" s="505"/>
      <c r="B4" s="506"/>
      <c r="C4" s="506"/>
      <c r="D4" s="506"/>
      <c r="E4" s="506"/>
      <c r="F4" s="506"/>
      <c r="G4" s="506"/>
      <c r="H4" s="506"/>
      <c r="I4" s="506"/>
      <c r="J4" s="506"/>
      <c r="K4" s="506"/>
      <c r="L4" s="506"/>
      <c r="M4" s="506"/>
      <c r="N4" s="506"/>
      <c r="O4" s="506"/>
      <c r="P4" s="506"/>
      <c r="Q4" s="506"/>
      <c r="R4" s="506"/>
      <c r="S4" s="506"/>
      <c r="T4" s="287"/>
    </row>
    <row r="5" spans="1:20" x14ac:dyDescent="0.2">
      <c r="A5" s="288"/>
      <c r="B5" s="158"/>
      <c r="C5" s="158"/>
      <c r="D5" s="158"/>
      <c r="E5" s="158"/>
      <c r="F5" s="158"/>
      <c r="G5" s="158"/>
      <c r="H5" s="158"/>
      <c r="I5" s="158"/>
      <c r="J5" s="158"/>
      <c r="K5" s="158"/>
      <c r="L5" s="158"/>
      <c r="M5" s="158"/>
      <c r="N5" s="158"/>
      <c r="O5" s="158"/>
      <c r="P5" s="158"/>
      <c r="Q5" s="158"/>
      <c r="R5" s="158"/>
      <c r="S5" s="158"/>
      <c r="T5" s="287"/>
    </row>
    <row r="6" spans="1:20" s="158" customFormat="1" ht="13.5" thickBot="1" x14ac:dyDescent="0.25">
      <c r="A6" s="288"/>
      <c r="R6" s="504" t="s">
        <v>253</v>
      </c>
      <c r="S6" s="504"/>
      <c r="T6" s="287"/>
    </row>
    <row r="7" spans="1:20" s="1" customFormat="1" ht="12.75" customHeight="1" x14ac:dyDescent="0.2">
      <c r="A7" s="165"/>
      <c r="B7" s="166" t="s">
        <v>254</v>
      </c>
      <c r="C7" s="241" t="s">
        <v>95</v>
      </c>
      <c r="D7" s="241" t="s">
        <v>96</v>
      </c>
      <c r="E7" s="242" t="s">
        <v>104</v>
      </c>
      <c r="F7" s="243" t="s">
        <v>173</v>
      </c>
      <c r="G7" s="242" t="s">
        <v>104</v>
      </c>
      <c r="H7" s="243" t="s">
        <v>174</v>
      </c>
      <c r="I7" s="242" t="s">
        <v>104</v>
      </c>
      <c r="J7" s="244" t="s">
        <v>175</v>
      </c>
      <c r="K7" s="242" t="s">
        <v>104</v>
      </c>
      <c r="L7" s="244" t="s">
        <v>176</v>
      </c>
      <c r="M7" s="242" t="s">
        <v>104</v>
      </c>
      <c r="N7" s="244" t="s">
        <v>177</v>
      </c>
      <c r="O7" s="242" t="s">
        <v>104</v>
      </c>
      <c r="P7" s="244" t="s">
        <v>178</v>
      </c>
      <c r="Q7" s="242" t="s">
        <v>104</v>
      </c>
      <c r="R7" s="332" t="s">
        <v>255</v>
      </c>
      <c r="S7" s="322" t="s">
        <v>256</v>
      </c>
      <c r="T7" s="289"/>
    </row>
    <row r="8" spans="1:20" x14ac:dyDescent="0.2">
      <c r="A8" s="288"/>
      <c r="B8" s="172" t="s">
        <v>257</v>
      </c>
      <c r="C8" s="278">
        <f>'2-Revenue'!B25</f>
        <v>240519953</v>
      </c>
      <c r="D8" s="278">
        <f>'2-Revenue'!C25</f>
        <v>252690125</v>
      </c>
      <c r="E8" s="279">
        <f>IF(C8=0,"%",D8/C8-1)</f>
        <v>5.0599427815454456E-2</v>
      </c>
      <c r="F8" s="278">
        <f>D8+'4-Academic-Financial'!H41</f>
        <v>256546343.03528291</v>
      </c>
      <c r="G8" s="279">
        <f>IF(D8=0,"%",F8/D8-1)</f>
        <v>1.5260659811232813E-2</v>
      </c>
      <c r="H8" s="278">
        <f>D8+'4-Academic-Financial'!L41</f>
        <v>260479685.81127146</v>
      </c>
      <c r="I8" s="279">
        <f>IF(F8=0,"%",H8/F8-1)</f>
        <v>1.5331899607111454E-2</v>
      </c>
      <c r="J8" s="278">
        <f>IFERROR(D8+'4-Academic-Financial'!L6*SUM('4-Academic-Financial'!M12:M18,'4-Academic-Financial'!M23),0)</f>
        <v>262523928.73201445</v>
      </c>
      <c r="K8" s="279">
        <f>IF(H8=0,"%",J8/H8-1)</f>
        <v>7.8479936520812199E-3</v>
      </c>
      <c r="L8" s="278">
        <f>IFERROR(D8+'4-Academic-Financial'!L6*SUM('4-Academic-Financial'!N12:N18, '4-Academic-Financial'!N23),0)</f>
        <v>265922411.78210771</v>
      </c>
      <c r="M8" s="279">
        <f>IF(J8=0,"%",L8/J8-1)</f>
        <v>1.2945422028795228E-2</v>
      </c>
      <c r="N8" s="278">
        <f>IFERROR(D8+'4-Academic-Financial'!L6*SUM('4-Academic-Financial'!O12:O18, '4-Academic-Financial'!O23),0)</f>
        <v>269383098.22910154</v>
      </c>
      <c r="O8" s="279">
        <f>IF(L8=0,"%",N8/L8-1)</f>
        <v>1.3013895383249707E-2</v>
      </c>
      <c r="P8" s="278">
        <f>IFERROR(D8+'4-Academic-Financial'!L6*SUM('4-Academic-Financial'!P12:P18,'4-Academic-Financial'!P23),0)</f>
        <v>272907180.02268708</v>
      </c>
      <c r="Q8" s="279">
        <f>IF(N8=0,"%",P8/N8-1)</f>
        <v>1.3082044926918224E-2</v>
      </c>
      <c r="R8" s="333">
        <f>IF(C8=0,"%",P8/C8-1)</f>
        <v>0.13465505301627534</v>
      </c>
      <c r="S8" s="323">
        <f>IFERROR(R8/7,"%")</f>
        <v>1.9236436145182192E-2</v>
      </c>
      <c r="T8" s="287"/>
    </row>
    <row r="9" spans="1:20" x14ac:dyDescent="0.2">
      <c r="A9" s="288"/>
      <c r="B9" s="162" t="s">
        <v>258</v>
      </c>
      <c r="C9" s="227">
        <f>'3-Financial Aid'!I18</f>
        <v>7.0265495901142483E-3</v>
      </c>
      <c r="D9" s="227">
        <f>'3-Financial Aid'!I31</f>
        <v>8.1925051542485715E-3</v>
      </c>
      <c r="E9" s="259" t="str">
        <f>IF(OR(C9=0,C9="%"),"%",_xlfn.CONCAT(ROUND(D9-C9,5)*100,"pt"))</f>
        <v>0.117pt</v>
      </c>
      <c r="F9" s="227">
        <f>'3-Financial Aid'!I44</f>
        <v>9.4870583333751691E-3</v>
      </c>
      <c r="G9" s="259" t="str">
        <f>IF(OR(D9=0,D9="%"),"%",_xlfn.CONCAT(ROUND(F9-D9,5)*100,"pt"))</f>
        <v>0.129pt</v>
      </c>
      <c r="H9" s="227">
        <f>'3-Financial Aid'!I57</f>
        <v>1.0662764268988639E-2</v>
      </c>
      <c r="I9" s="259" t="str">
        <f>IF(OR(F9=0,F9="%"),"%",_xlfn.CONCAT(ROUND(H9-F9,5)*100,"pt"))</f>
        <v>0.118pt</v>
      </c>
      <c r="J9" s="227">
        <f>'3-Financial Aid'!I70</f>
        <v>1.2095085629976183E-2</v>
      </c>
      <c r="K9" s="259" t="str">
        <f>IF(OR(H9=0,H9="%"),"%",_xlfn.CONCAT(ROUND(J9-H9,5)*100,"pt"))</f>
        <v>0.143pt</v>
      </c>
      <c r="L9" s="227">
        <f>'3-Financial Aid'!I83</f>
        <v>1.3512894439883349E-2</v>
      </c>
      <c r="M9" s="259" t="str">
        <f>IF(OR(J9=0,J9="%"),"%",_xlfn.CONCAT(ROUND(L9-J9,5)*100,"pt"))</f>
        <v>0.142pt</v>
      </c>
      <c r="N9" s="227">
        <f>'3-Financial Aid'!I96</f>
        <v>1.4924487347844531E-2</v>
      </c>
      <c r="O9" s="259" t="str">
        <f>IF(OR(L9=0,L9="%"),"%",_xlfn.CONCAT(ROUND(N9-L9,5)*100,"pt"))</f>
        <v>0.141pt</v>
      </c>
      <c r="P9" s="227">
        <f>'3-Financial Aid'!I109</f>
        <v>1.6329859431502444E-2</v>
      </c>
      <c r="Q9" s="259" t="str">
        <f>IF(OR(N9=0,N9="%"),"%",_xlfn.CONCAT(ROUND(P9-N9,5)*100,"pt"))</f>
        <v>0.141pt</v>
      </c>
      <c r="R9" s="334" t="str">
        <f>IF(OR(C9=0,C9="%"),"%",_xlfn.CONCAT(ROUND(P9-C9,5)*100,"pt"))</f>
        <v>0.93pt</v>
      </c>
      <c r="S9" s="325" t="str">
        <f>IFERROR(R9/7,"%")</f>
        <v>%</v>
      </c>
      <c r="T9" s="287"/>
    </row>
    <row r="10" spans="1:20" x14ac:dyDescent="0.2">
      <c r="A10" s="288"/>
      <c r="B10" s="163" t="s">
        <v>259</v>
      </c>
      <c r="C10" s="272">
        <f>'2-Revenue'!B24</f>
        <v>802989228</v>
      </c>
      <c r="D10" s="272">
        <f>'2-Revenue'!C24</f>
        <v>858443011.5520004</v>
      </c>
      <c r="E10" s="273">
        <f>IF(C10=0,"%",D10/C10-1)</f>
        <v>6.9059187369323372E-2</v>
      </c>
      <c r="F10" s="272">
        <f>'2-Revenue'!E24</f>
        <v>879043115.44402444</v>
      </c>
      <c r="G10" s="273">
        <f>IF(D10=0,"%",F10/D10-1)</f>
        <v>2.399705468483071E-2</v>
      </c>
      <c r="H10" s="272">
        <f>'2-Revenue'!G24</f>
        <v>904417174.58134532</v>
      </c>
      <c r="I10" s="273">
        <f>IF(F10=0,"%",H10/F10-1)</f>
        <v>2.8865545604670251E-2</v>
      </c>
      <c r="J10" s="272">
        <f>'2-Revenue'!I24</f>
        <v>906602830.04652584</v>
      </c>
      <c r="K10" s="273">
        <f>IF(H10=0,"%",J10/H10-1)</f>
        <v>2.4166452458096455E-3</v>
      </c>
      <c r="L10" s="272">
        <f>'2-Revenue'!K24</f>
        <v>909523021.11098766</v>
      </c>
      <c r="M10" s="273">
        <f>IF(J10=0,"%",L10/J10-1)</f>
        <v>3.2210257542566456E-3</v>
      </c>
      <c r="N10" s="272">
        <f>'2-Revenue'!M24</f>
        <v>912519713.20375609</v>
      </c>
      <c r="O10" s="273">
        <f>IF(L10=0,"%",N10/L10-1)</f>
        <v>3.2947952093702604E-3</v>
      </c>
      <c r="P10" s="272">
        <f>'2-Revenue'!O24</f>
        <v>915594846.11077857</v>
      </c>
      <c r="Q10" s="273">
        <f>IF(N10=0,"%",P10/N10-1)</f>
        <v>3.3699358627836684E-3</v>
      </c>
      <c r="R10" s="335">
        <f>IF(C10=0,"%",P10/C10-1)</f>
        <v>0.1402330369876128</v>
      </c>
      <c r="S10" s="324">
        <f>IFERROR(R10/7,"%")</f>
        <v>2.00332909982304E-2</v>
      </c>
      <c r="T10" s="287"/>
    </row>
    <row r="11" spans="1:20" x14ac:dyDescent="0.2">
      <c r="A11" s="288"/>
      <c r="B11" s="162" t="s">
        <v>260</v>
      </c>
      <c r="C11" s="267"/>
      <c r="D11" s="232">
        <f>D10-C10</f>
        <v>55453783.552000403</v>
      </c>
      <c r="E11" s="258"/>
      <c r="F11" s="232">
        <f>F10-D10</f>
        <v>20600103.89202404</v>
      </c>
      <c r="G11" s="258">
        <f>IF(D11=0,"%",F11/D11-1)</f>
        <v>-0.62851761282065077</v>
      </c>
      <c r="H11" s="232">
        <f>H10-F10</f>
        <v>25374059.137320876</v>
      </c>
      <c r="I11" s="258">
        <f>IF(F11=0,"%",H11/F11-1)</f>
        <v>0.23174423150094969</v>
      </c>
      <c r="J11" s="232">
        <f>J10-H10</f>
        <v>2185655.4651805162</v>
      </c>
      <c r="K11" s="258">
        <f>IF(H11=0,"%",J11/H11-1)</f>
        <v>-0.91386260064453806</v>
      </c>
      <c r="L11" s="232">
        <f>L10-J10</f>
        <v>2920191.0644618273</v>
      </c>
      <c r="M11" s="258">
        <f>IF(J11=0,"%",L11/J11-1)</f>
        <v>0.33607108301520183</v>
      </c>
      <c r="N11" s="232">
        <f>N10-L10</f>
        <v>2996692.0927684307</v>
      </c>
      <c r="O11" s="258">
        <f>IF(L11=0,"%",N11/L11-1)</f>
        <v>2.6197268130022877E-2</v>
      </c>
      <c r="P11" s="232">
        <f>P10-N10</f>
        <v>3075132.9070224762</v>
      </c>
      <c r="Q11" s="258">
        <f>IF(N11=0,"%",P11/N11-1)</f>
        <v>2.6175800457890697E-2</v>
      </c>
      <c r="R11" s="336">
        <f>IF(D11=0,"%",P11/D11-1)</f>
        <v>-0.94454602174910485</v>
      </c>
      <c r="S11" s="262"/>
      <c r="T11" s="287"/>
    </row>
    <row r="12" spans="1:20" x14ac:dyDescent="0.2">
      <c r="A12" s="288"/>
      <c r="B12" s="162" t="s">
        <v>261</v>
      </c>
      <c r="C12" s="267">
        <f>C10+C8</f>
        <v>1043509181</v>
      </c>
      <c r="D12" s="267">
        <f>D10+D8</f>
        <v>1111133136.5520005</v>
      </c>
      <c r="E12" s="260">
        <f>IF(C12=0,"%",D12/C12-1)</f>
        <v>6.4804370467729022E-2</v>
      </c>
      <c r="F12" s="267">
        <f>F10+F8</f>
        <v>1135589458.4793074</v>
      </c>
      <c r="G12" s="260">
        <f>IF(D12=0,"%",F12/D12-1)</f>
        <v>2.2010253427593884E-2</v>
      </c>
      <c r="H12" s="267">
        <f>H10+H8</f>
        <v>1164896860.3926167</v>
      </c>
      <c r="I12" s="260">
        <f>IF(F12=0,"%",H12/F12-1)</f>
        <v>2.5808096134104286E-2</v>
      </c>
      <c r="J12" s="267">
        <f>J10+J8</f>
        <v>1169126758.7785404</v>
      </c>
      <c r="K12" s="260">
        <f>IF(H12=0,"%",J12/H12-1)</f>
        <v>3.6311355363238818E-3</v>
      </c>
      <c r="L12" s="267">
        <f>L10+L8</f>
        <v>1175445432.8930955</v>
      </c>
      <c r="M12" s="260">
        <f>IF(J12=0,"%",L12/J12-1)</f>
        <v>5.4046099510687284E-3</v>
      </c>
      <c r="N12" s="267">
        <f>N10+N8</f>
        <v>1181902811.4328575</v>
      </c>
      <c r="O12" s="260">
        <f>IF(L12=0,"%",N12/L12-1)</f>
        <v>5.4935587472304537E-3</v>
      </c>
      <c r="P12" s="267">
        <f>P10+P8</f>
        <v>1188502026.1334658</v>
      </c>
      <c r="Q12" s="260">
        <f>IF(N12=0,"%",P12/N12-1)</f>
        <v>5.5835510642434638E-3</v>
      </c>
      <c r="R12" s="336">
        <f>IF(D12=0,"%",P12/D12-1)</f>
        <v>6.9630620342717497E-2</v>
      </c>
      <c r="S12" s="262">
        <f>IFERROR(R12/7,"%")</f>
        <v>9.9472314775310711E-3</v>
      </c>
      <c r="T12" s="287"/>
    </row>
    <row r="13" spans="1:20" x14ac:dyDescent="0.2">
      <c r="A13" s="288"/>
      <c r="B13" s="164" t="s">
        <v>262</v>
      </c>
      <c r="C13" s="280">
        <f>IF(C8+C10=0,"%",C8/(C8+C10))</f>
        <v>0.23049145841678992</v>
      </c>
      <c r="D13" s="280">
        <f>IF(D8+D10=0,"%",D8/(D8+D10))</f>
        <v>0.2274166044441194</v>
      </c>
      <c r="E13" s="281" t="str">
        <f>IF(OR(C13=0,C13="%"),"%",_xlfn.CONCAT(ROUND(D13-C13,3)*100,"pt"))</f>
        <v>-0.3pt</v>
      </c>
      <c r="F13" s="280">
        <f>IF(F8+F10=0,"%",F8/(F8+F10))</f>
        <v>0.22591469225051605</v>
      </c>
      <c r="G13" s="281" t="str">
        <f>IF(OR(D13=0,D13="%"),"%",_xlfn.CONCAT(ROUND(F13-D13,3)*100,"pt"))</f>
        <v>-0.2pt</v>
      </c>
      <c r="H13" s="280">
        <f>IF(H8+H10=0,"%",H8/(H8+H10))</f>
        <v>0.22360750952962427</v>
      </c>
      <c r="I13" s="281" t="str">
        <f>IF(OR(F13=0,F13="%"),"%",_xlfn.CONCAT(ROUND(H13-F13,3)*100,"pt"))</f>
        <v>-0.2pt</v>
      </c>
      <c r="J13" s="280">
        <f>IF(J8+J10=0,"%",J8/(J8+J10))</f>
        <v>0.22454701918403575</v>
      </c>
      <c r="K13" s="281" t="str">
        <f>IF(OR(H13=0,H13="%"),"%",_xlfn.CONCAT(ROUND(J13-H13,3)*100,"pt"))</f>
        <v>0.1pt</v>
      </c>
      <c r="L13" s="280">
        <f>IF(L8+L10=0,"%",L8/(L8+L10))</f>
        <v>0.2262311838054441</v>
      </c>
      <c r="M13" s="281" t="str">
        <f>IF(OR(J13=0,J13="%"),"%",_xlfn.CONCAT(ROUND(L13-J13,3)*100,"pt"))</f>
        <v>0.2pt</v>
      </c>
      <c r="N13" s="280">
        <f>IF(N8+N10=0,"%",N8/(N8+N10))</f>
        <v>0.22792322314769692</v>
      </c>
      <c r="O13" s="281" t="str">
        <f>IF(OR(L13=0,L13="%"),"%",_xlfn.CONCAT(ROUND(N13-L13,3)*100,"pt"))</f>
        <v>0.2pt</v>
      </c>
      <c r="P13" s="280">
        <f>IF(P8+P10=0,"%",P8/(P8+P10))</f>
        <v>0.22962281428373457</v>
      </c>
      <c r="Q13" s="281" t="str">
        <f>IF(OR(N13=0,N13="%"),"%",_xlfn.CONCAT(ROUND(P13-N13,3)*100,"pt"))</f>
        <v>0.2pt</v>
      </c>
      <c r="R13" s="337" t="str">
        <f>IF(OR(C13=0,C13="%"),"%",_xlfn.CONCAT(ROUND(P13-C13,3)*100,"pt"))</f>
        <v>-0.1pt</v>
      </c>
      <c r="S13" s="325" t="str">
        <f>IFERROR(R13/7,"%")</f>
        <v>%</v>
      </c>
      <c r="T13" s="287"/>
    </row>
    <row r="14" spans="1:20" x14ac:dyDescent="0.2">
      <c r="A14" s="288"/>
      <c r="B14" s="163" t="s">
        <v>263</v>
      </c>
      <c r="C14" s="272">
        <f>'4-Academic-Financial'!D5</f>
        <v>1011960548</v>
      </c>
      <c r="D14" s="272">
        <f>'4-Academic-Financial'!D6</f>
        <v>1113968310.1216629</v>
      </c>
      <c r="E14" s="273">
        <f>IF(C14=0,"%",D14/C14-1)</f>
        <v>0.10080211360340785</v>
      </c>
      <c r="F14" s="272">
        <f>$D$14+F15-F16</f>
        <v>1172382475.1704383</v>
      </c>
      <c r="G14" s="273">
        <f>IF(D14=0,"%",F14/D14-1)</f>
        <v>5.2437905565191345E-2</v>
      </c>
      <c r="H14" s="272">
        <f>$D$14+H15-H16</f>
        <v>1207693014.3775651</v>
      </c>
      <c r="I14" s="273">
        <f>IF(F14=0,"%",H14/F14-1)</f>
        <v>3.0118617392326241E-2</v>
      </c>
      <c r="J14" s="272">
        <f>$D$14+J15-J16</f>
        <v>1244227301.6745129</v>
      </c>
      <c r="K14" s="273">
        <f>IF(H14=0,"%",J14/H14-1)</f>
        <v>3.0251302990087492E-2</v>
      </c>
      <c r="L14" s="272">
        <f>$D$14+L15-L16</f>
        <v>1287916240.6659346</v>
      </c>
      <c r="M14" s="273">
        <f>IF(J14=0,"%",L14/J14-1)</f>
        <v>3.5113310029946998E-2</v>
      </c>
      <c r="N14" s="272">
        <f>$D$14+N15-N16</f>
        <v>1320672965.5646555</v>
      </c>
      <c r="O14" s="273">
        <f>IF(L14=0,"%",N14/L14-1)</f>
        <v>2.5433893808019414E-2</v>
      </c>
      <c r="P14" s="272">
        <f>$D$14+P15-P16</f>
        <v>1353775717.3139875</v>
      </c>
      <c r="Q14" s="273">
        <f>IF(N14=0,"%",P14/N14-1)</f>
        <v>2.5065063503574292E-2</v>
      </c>
      <c r="R14" s="335">
        <f>IF(C14=0,"%",P14/C14-1)</f>
        <v>0.33777519290602576</v>
      </c>
      <c r="S14" s="324">
        <f>IFERROR(R14/7,"%")</f>
        <v>4.8253598986575108E-2</v>
      </c>
      <c r="T14" s="287"/>
    </row>
    <row r="15" spans="1:20" x14ac:dyDescent="0.2">
      <c r="A15" s="288"/>
      <c r="B15" s="162" t="s">
        <v>264</v>
      </c>
      <c r="C15" s="267"/>
      <c r="D15" s="232"/>
      <c r="E15" s="258"/>
      <c r="F15" s="232">
        <f>'4-Academic-Financial'!E41</f>
        <v>74954165.04877533</v>
      </c>
      <c r="G15" s="258"/>
      <c r="H15" s="232">
        <f>'4-Academic-Financial'!I41</f>
        <v>115459207.1257804</v>
      </c>
      <c r="I15" s="258">
        <f>IF(F15=0,"%",H15/F15-1)</f>
        <v>0.54039748225661643</v>
      </c>
      <c r="J15" s="232">
        <f>'4-Academic-Financial'!M41</f>
        <v>151993494.42272815</v>
      </c>
      <c r="K15" s="258">
        <f>IF(H15=0,"%",J15/H15-1)</f>
        <v>0.3164259326425789</v>
      </c>
      <c r="L15" s="232">
        <f>'4-Academic-Financial'!N41</f>
        <v>195682433.4141497</v>
      </c>
      <c r="M15" s="258">
        <f>IF(J15=0,"%",L15/J15-1)</f>
        <v>0.28743953257573485</v>
      </c>
      <c r="N15" s="232">
        <f>'4-Academic-Financial'!O41</f>
        <v>228439158.31287077</v>
      </c>
      <c r="O15" s="258">
        <f>IF(L15=0,"%",N15/L15-1)</f>
        <v>0.16739737097092156</v>
      </c>
      <c r="P15" s="232">
        <f>'4-Academic-Financial'!P41</f>
        <v>261541910.06220281</v>
      </c>
      <c r="Q15" s="258">
        <f>IF(N15=0,"%",P15/N15-1)</f>
        <v>0.1449083948383072</v>
      </c>
      <c r="R15" s="336">
        <f>IF(F15=0,"%",P15/F15-1)</f>
        <v>2.4893579281686113</v>
      </c>
      <c r="S15" s="262"/>
      <c r="T15" s="287"/>
    </row>
    <row r="16" spans="1:20" x14ac:dyDescent="0.2">
      <c r="A16" s="288"/>
      <c r="B16" s="164" t="s">
        <v>265</v>
      </c>
      <c r="C16" s="274"/>
      <c r="D16" s="275"/>
      <c r="E16" s="276"/>
      <c r="F16" s="277">
        <f>'4-Academic-Financial'!F41</f>
        <v>16540000</v>
      </c>
      <c r="G16" s="276"/>
      <c r="H16" s="277">
        <f>'4-Academic-Financial'!J41</f>
        <v>21734502.869878154</v>
      </c>
      <c r="I16" s="276">
        <f>IF(F16=0,"%",H16/F16-1)</f>
        <v>0.31405700543398751</v>
      </c>
      <c r="J16" s="277">
        <f>H16</f>
        <v>21734502.869878154</v>
      </c>
      <c r="K16" s="276"/>
      <c r="L16" s="277">
        <f>J16</f>
        <v>21734502.869878154</v>
      </c>
      <c r="M16" s="276"/>
      <c r="N16" s="277">
        <f>L16</f>
        <v>21734502.869878154</v>
      </c>
      <c r="O16" s="276"/>
      <c r="P16" s="277">
        <f>N16</f>
        <v>21734502.869878154</v>
      </c>
      <c r="Q16" s="276"/>
      <c r="R16" s="338"/>
      <c r="S16" s="325"/>
      <c r="T16" s="287"/>
    </row>
    <row r="17" spans="1:20" x14ac:dyDescent="0.2">
      <c r="A17" s="288"/>
      <c r="B17" s="245" t="s">
        <v>266</v>
      </c>
      <c r="C17" s="225">
        <f>C12-C14</f>
        <v>31548633</v>
      </c>
      <c r="D17" s="225">
        <f>D12-D14</f>
        <v>-2835173.5696623325</v>
      </c>
      <c r="E17" s="233">
        <f>IF(C17=0,"%",D17/C17-1)</f>
        <v>-1.0898667644224818</v>
      </c>
      <c r="F17" s="225">
        <f>F12-F14</f>
        <v>-36793016.691130877</v>
      </c>
      <c r="G17" s="233">
        <f>IF(D17=0,"%",F17/D17-1)</f>
        <v>11.977341875937741</v>
      </c>
      <c r="H17" s="225">
        <f>H12-H14</f>
        <v>-42796153.984948397</v>
      </c>
      <c r="I17" s="234">
        <f>IF(F17=0,"%",H17/F17-1)</f>
        <v>0.16315969261809959</v>
      </c>
      <c r="J17" s="225">
        <f>J12-J14</f>
        <v>-75100542.89597249</v>
      </c>
      <c r="K17" s="234">
        <f>IF(H17=0,"%",J17/H17-1)</f>
        <v>0.75484327218716185</v>
      </c>
      <c r="L17" s="225">
        <f>L12-L14</f>
        <v>-112470807.77283907</v>
      </c>
      <c r="M17" s="234">
        <f>IF(J17=0,"%",L17/J17-1)</f>
        <v>0.49760312556769382</v>
      </c>
      <c r="N17" s="225">
        <f>N12-N14</f>
        <v>-138770154.13179803</v>
      </c>
      <c r="O17" s="234">
        <f>IF(L17=0,"%",N17/L17-1)</f>
        <v>0.23383264404107962</v>
      </c>
      <c r="P17" s="225">
        <f>P12-P14</f>
        <v>-165273691.18052173</v>
      </c>
      <c r="Q17" s="234">
        <f>IF(N17=0,"%",P17/N17-1)</f>
        <v>0.19098874116369258</v>
      </c>
      <c r="R17" s="339">
        <f>IF(F17=0,"%",P17/F17-1)</f>
        <v>3.4919853288453426</v>
      </c>
      <c r="S17" s="326">
        <f>IFERROR(R17/7,"%")</f>
        <v>0.49885504697790611</v>
      </c>
      <c r="T17" s="287"/>
    </row>
    <row r="18" spans="1:20" ht="13.5" thickBot="1" x14ac:dyDescent="0.25">
      <c r="A18" s="288"/>
      <c r="B18" s="246" t="s">
        <v>267</v>
      </c>
      <c r="C18" s="247">
        <f>C17</f>
        <v>31548633</v>
      </c>
      <c r="D18" s="248">
        <f>D17-C17</f>
        <v>-34383806.569662333</v>
      </c>
      <c r="E18" s="249">
        <f>IF(C18=0,"%",D18/C18-1)</f>
        <v>-2.0898667644224815</v>
      </c>
      <c r="F18" s="250">
        <f>F17-D17</f>
        <v>-33957843.121468544</v>
      </c>
      <c r="G18" s="249">
        <f>IF(D18=0,"%",F18/D18-1)</f>
        <v>-1.2388490126326701E-2</v>
      </c>
      <c r="H18" s="250">
        <f>H17-F17</f>
        <v>-6003137.2938175201</v>
      </c>
      <c r="I18" s="251">
        <f>IF(F18=0,"%",H18/F18-1)</f>
        <v>-0.82321794489879518</v>
      </c>
      <c r="J18" s="250">
        <f>J17-H17</f>
        <v>-32304388.911024094</v>
      </c>
      <c r="K18" s="251">
        <f>IF(H18=0,"%",J18/H18-1)</f>
        <v>4.3812510575584485</v>
      </c>
      <c r="L18" s="250">
        <f>L17-J17</f>
        <v>-37370264.876866579</v>
      </c>
      <c r="M18" s="251">
        <f>IF(J18=0,"%",L18/J18-1)</f>
        <v>0.15681695697124676</v>
      </c>
      <c r="N18" s="250">
        <f>N17-L17</f>
        <v>-26299346.35895896</v>
      </c>
      <c r="O18" s="251">
        <f>IF(L18=0,"%",N18/L18-1)</f>
        <v>-0.29624939920511195</v>
      </c>
      <c r="P18" s="250">
        <f>P17-N17</f>
        <v>-26503537.048723698</v>
      </c>
      <c r="Q18" s="251">
        <f>IF(N18=0,"%",P18/N18-1)</f>
        <v>7.7640975170161219E-3</v>
      </c>
      <c r="R18" s="340">
        <f>IF(F18=0,"%",P18/F18-1)</f>
        <v>-0.21951647653475814</v>
      </c>
      <c r="S18" s="327">
        <f>IFERROR(R18/7,"%")</f>
        <v>-3.1359496647822595E-2</v>
      </c>
      <c r="T18" s="287"/>
    </row>
    <row r="19" spans="1:20" ht="17.25" customHeight="1" x14ac:dyDescent="0.2">
      <c r="A19" s="288"/>
      <c r="B19" s="231" t="s">
        <v>268</v>
      </c>
      <c r="C19" s="158"/>
      <c r="D19" s="158"/>
      <c r="E19" s="158"/>
      <c r="F19" s="158"/>
      <c r="G19" s="158"/>
      <c r="H19" s="158"/>
      <c r="I19" s="158"/>
      <c r="J19" s="158"/>
      <c r="K19" s="158"/>
      <c r="L19" s="158"/>
      <c r="M19" s="158"/>
      <c r="N19" s="158"/>
      <c r="O19" s="158"/>
      <c r="P19" s="158"/>
      <c r="Q19" s="158"/>
      <c r="R19" s="158"/>
      <c r="S19" s="158"/>
      <c r="T19" s="287"/>
    </row>
    <row r="20" spans="1:20" x14ac:dyDescent="0.2">
      <c r="A20" s="288"/>
      <c r="B20" s="231" t="s">
        <v>269</v>
      </c>
      <c r="C20" s="158"/>
      <c r="D20" s="158"/>
      <c r="E20" s="158"/>
      <c r="F20" s="158"/>
      <c r="G20" s="158"/>
      <c r="H20" s="158"/>
      <c r="I20" s="158"/>
      <c r="J20" s="158"/>
      <c r="K20" s="158"/>
      <c r="L20" s="158"/>
      <c r="M20" s="158"/>
      <c r="N20" s="158"/>
      <c r="O20" s="158"/>
      <c r="P20" s="158"/>
      <c r="Q20" s="158"/>
      <c r="R20" s="158"/>
      <c r="S20" s="158"/>
      <c r="T20" s="287"/>
    </row>
    <row r="21" spans="1:20" x14ac:dyDescent="0.2">
      <c r="A21" s="288"/>
      <c r="B21" s="158"/>
      <c r="C21" s="158"/>
      <c r="E21" s="158"/>
      <c r="F21" s="158"/>
      <c r="G21" s="158"/>
      <c r="H21" s="158"/>
      <c r="I21" s="158"/>
      <c r="J21" s="158"/>
      <c r="K21" s="158"/>
      <c r="L21" s="158"/>
      <c r="M21" s="158"/>
      <c r="N21" s="158"/>
      <c r="O21" s="158"/>
      <c r="P21" s="158"/>
      <c r="Q21" s="158"/>
      <c r="R21" s="158"/>
      <c r="S21" s="158"/>
      <c r="T21" s="287"/>
    </row>
    <row r="22" spans="1:20" ht="13.5" thickBot="1" x14ac:dyDescent="0.25">
      <c r="A22" s="288"/>
      <c r="B22" s="158"/>
      <c r="C22" s="158"/>
      <c r="D22" s="158"/>
      <c r="E22" s="158"/>
      <c r="F22" s="158"/>
      <c r="G22" s="158"/>
      <c r="H22" s="158"/>
      <c r="I22" s="158"/>
      <c r="J22" s="235"/>
      <c r="K22" s="158"/>
      <c r="L22" s="158"/>
      <c r="M22" s="158"/>
      <c r="N22" s="158"/>
      <c r="O22" s="158"/>
      <c r="P22" s="158"/>
      <c r="Q22" s="158"/>
      <c r="R22" s="158"/>
      <c r="S22" s="158"/>
      <c r="T22" s="287"/>
    </row>
    <row r="23" spans="1:20" s="158" customFormat="1" ht="13.5" thickBot="1" x14ac:dyDescent="0.25">
      <c r="A23" s="288"/>
      <c r="B23" s="292" t="s">
        <v>270</v>
      </c>
      <c r="C23" s="293"/>
      <c r="D23" s="293"/>
      <c r="E23" s="293"/>
      <c r="F23" s="293"/>
      <c r="G23" s="293"/>
      <c r="H23" s="293"/>
      <c r="I23" s="293"/>
      <c r="J23" s="293"/>
      <c r="K23" s="293"/>
      <c r="L23" s="293"/>
      <c r="M23" s="293"/>
      <c r="N23" s="293"/>
      <c r="O23" s="293"/>
      <c r="P23" s="293"/>
      <c r="Q23" s="293"/>
      <c r="R23" s="341"/>
      <c r="S23" s="328"/>
      <c r="T23" s="287"/>
    </row>
    <row r="24" spans="1:20" s="158" customFormat="1" x14ac:dyDescent="0.2">
      <c r="A24" s="288"/>
      <c r="B24" s="161"/>
      <c r="C24" s="236" t="s">
        <v>95</v>
      </c>
      <c r="D24" s="236" t="s">
        <v>96</v>
      </c>
      <c r="E24" s="237" t="s">
        <v>104</v>
      </c>
      <c r="F24" s="238" t="s">
        <v>173</v>
      </c>
      <c r="G24" s="237" t="s">
        <v>104</v>
      </c>
      <c r="H24" s="238" t="s">
        <v>174</v>
      </c>
      <c r="I24" s="237" t="s">
        <v>104</v>
      </c>
      <c r="J24" s="239" t="s">
        <v>175</v>
      </c>
      <c r="K24" s="237" t="s">
        <v>104</v>
      </c>
      <c r="L24" s="239" t="s">
        <v>176</v>
      </c>
      <c r="M24" s="237" t="s">
        <v>104</v>
      </c>
      <c r="N24" s="239" t="s">
        <v>177</v>
      </c>
      <c r="O24" s="237" t="s">
        <v>104</v>
      </c>
      <c r="P24" s="239" t="s">
        <v>178</v>
      </c>
      <c r="Q24" s="237" t="s">
        <v>104</v>
      </c>
      <c r="R24" s="342" t="s">
        <v>255</v>
      </c>
      <c r="S24" s="329" t="s">
        <v>256</v>
      </c>
      <c r="T24" s="287"/>
    </row>
    <row r="25" spans="1:20" s="158" customFormat="1" x14ac:dyDescent="0.2">
      <c r="A25" s="288"/>
      <c r="B25" s="264" t="s">
        <v>271</v>
      </c>
      <c r="C25" s="265">
        <f>C13</f>
        <v>0.23049145841678992</v>
      </c>
      <c r="D25" s="265">
        <f>C25</f>
        <v>0.23049145841678992</v>
      </c>
      <c r="E25" s="261" t="str">
        <f>IF(OR(C25=0,C25="%"),"%",_xlfn.CONCAT(ROUND(D25-C25,3)*100,"pt"))</f>
        <v>0pt</v>
      </c>
      <c r="F25" s="265">
        <f>D25</f>
        <v>0.23049145841678992</v>
      </c>
      <c r="G25" s="261" t="str">
        <f>IF(OR(D25=0,D25="%"),"%",_xlfn.CONCAT(ROUND(F25-D25,3)*100,"pt"))</f>
        <v>0pt</v>
      </c>
      <c r="H25" s="265">
        <f>F25</f>
        <v>0.23049145841678992</v>
      </c>
      <c r="I25" s="261" t="str">
        <f>IF(OR(F25=0,F25="%"),"%",_xlfn.CONCAT(ROUND(H25-F25,3)*100,"pt"))</f>
        <v>0pt</v>
      </c>
      <c r="J25" s="266">
        <f>H25</f>
        <v>0.23049145841678992</v>
      </c>
      <c r="K25" s="261" t="str">
        <f>IF(OR(H25=0,H25="%"),"%",_xlfn.CONCAT(ROUND(J25-H25,3)*100,"pt"))</f>
        <v>0pt</v>
      </c>
      <c r="L25" s="266">
        <f>J25</f>
        <v>0.23049145841678992</v>
      </c>
      <c r="M25" s="261" t="str">
        <f>IF(OR(J25=0,J25="%"),"%",_xlfn.CONCAT(ROUND(L25-J25,3)*100,"pt"))</f>
        <v>0pt</v>
      </c>
      <c r="N25" s="266">
        <f>L25</f>
        <v>0.23049145841678992</v>
      </c>
      <c r="O25" s="261" t="str">
        <f>IF(OR(L25=0,L25="%"),"%",_xlfn.CONCAT(ROUND(N25-L25,3)*100,"pt"))</f>
        <v>0pt</v>
      </c>
      <c r="P25" s="266">
        <f>N25</f>
        <v>0.23049145841678992</v>
      </c>
      <c r="Q25" s="261" t="str">
        <f>IF(OR(N25=0,N25="%"),"%",_xlfn.CONCAT(ROUND(P25-N25,3)*100,"pt"))</f>
        <v>0pt</v>
      </c>
      <c r="R25" s="343" t="str">
        <f>IF(OR(C25=0,C25="%"),"%",_xlfn.CONCAT(ROUND(P25-C25,3)*100,"pt"))</f>
        <v>0pt</v>
      </c>
      <c r="S25" s="262" t="str">
        <f>IF(OR(C25=0,C25="%"),"%",_xlfn.CONCAT(ROUND((P25-C25)/7,3)*100,"pt"))</f>
        <v>0pt</v>
      </c>
      <c r="T25" s="287"/>
    </row>
    <row r="26" spans="1:20" s="158" customFormat="1" x14ac:dyDescent="0.2">
      <c r="A26" s="288"/>
      <c r="B26" s="162" t="s">
        <v>272</v>
      </c>
      <c r="C26" s="240">
        <f>IF(C10=0,"%",(-C18*(1-C$25))/(C10))</f>
        <v>-3.0233210760797324E-2</v>
      </c>
      <c r="D26" s="240">
        <f>IF(D10=0,"%",(-D18*(1-D$25))/(D10))</f>
        <v>3.0821653262299662E-2</v>
      </c>
      <c r="E26" s="261" t="str">
        <f>IF(OR(C26=0,C26="%"),"%",_xlfn.CONCAT(ROUND(D26-C26,3)*100,"pt"))</f>
        <v>6.1pt</v>
      </c>
      <c r="F26" s="240">
        <f>IF(F10=0,"%",(-F18*(1-F$25))/(F10))</f>
        <v>2.9726471747080829E-2</v>
      </c>
      <c r="G26" s="261" t="str">
        <f>IF(OR(D26=0,D26="%"),"%",_xlfn.CONCAT(ROUND(F26-D26,3)*100,"pt"))</f>
        <v>-0.1pt</v>
      </c>
      <c r="H26" s="240">
        <f>IF(H10=0,"%",(-H18*(1-H$25))/(H10))</f>
        <v>5.1076710545967345E-3</v>
      </c>
      <c r="I26" s="261" t="str">
        <f>IF(OR(F26=0,F26="%"),"%",_xlfn.CONCAT(ROUND(H26-F26,3)*100,"pt"))</f>
        <v>-2.5pt</v>
      </c>
      <c r="J26" s="240">
        <f>IF(J10=0,"%",(-J18*(1-J$25))/(J10))</f>
        <v>2.7419397308061859E-2</v>
      </c>
      <c r="K26" s="261" t="str">
        <f>IF(OR(H26=0,H26="%"),"%",_xlfn.CONCAT(ROUND(J26-H26,3)*100,"pt"))</f>
        <v>2.2pt</v>
      </c>
      <c r="L26" s="240">
        <f>IF(L10=0,"%",(-L18*(1-L$25))/(L10))</f>
        <v>3.1617383349845658E-2</v>
      </c>
      <c r="M26" s="261" t="str">
        <f>IF(OR(J26=0,J26="%"),"%",_xlfn.CONCAT(ROUND(L26-J26,3)*100,"pt"))</f>
        <v>0.4pt</v>
      </c>
      <c r="N26" s="240">
        <f>IF(N10=0,"%",(-N18*(1-N$25))/(N10))</f>
        <v>2.2177681608896244E-2</v>
      </c>
      <c r="O26" s="261" t="str">
        <f>IF(OR(L26=0,L26="%"),"%",_xlfn.CONCAT(ROUND(N26-L26,3)*100,"pt"))</f>
        <v>-0.9pt</v>
      </c>
      <c r="P26" s="240">
        <f>IF(P10=0,"%",(-P18*(1-P$25))/(P10))</f>
        <v>2.2274806621937211E-2</v>
      </c>
      <c r="Q26" s="261" t="str">
        <f>IF(OR(N26=0,N26="%"),"%",_xlfn.CONCAT(ROUND(P26-N26,3)*100,"pt"))</f>
        <v>0pt</v>
      </c>
      <c r="R26" s="343" t="str">
        <f>IF(OR(C26=0,C26="%"),"%",_xlfn.CONCAT(ROUND(P26-C26,3)*100,"pt"))</f>
        <v>5.3pt</v>
      </c>
      <c r="S26" s="262" t="str">
        <f>IF(OR(C26=0,C26="%"),"%",_xlfn.CONCAT(ROUND((P26-C26)/7,3)*100,"pt"))</f>
        <v>0.8pt</v>
      </c>
      <c r="T26" s="287"/>
    </row>
    <row r="27" spans="1:20" s="158" customFormat="1" ht="13.5" thickBot="1" x14ac:dyDescent="0.25">
      <c r="A27" s="288"/>
      <c r="B27" s="252" t="s">
        <v>273</v>
      </c>
      <c r="C27" s="226">
        <f>IF(C8=0,"%",(-C18*C$25)/C8)</f>
        <v>-3.0233210760797324E-2</v>
      </c>
      <c r="D27" s="226">
        <f>IF(D8=0,"%",(-D18*D$25)/D8)</f>
        <v>3.1363211056080142E-2</v>
      </c>
      <c r="E27" s="263" t="str">
        <f>IF(OR(C27=0,C27="%"),"%",_xlfn.CONCAT(ROUND(D27-C27,3)*100,"pt"))</f>
        <v>6.2pt</v>
      </c>
      <c r="F27" s="226">
        <f>IF(F8=0,"%",(-F18*F$25)/F8)</f>
        <v>3.050907954154464E-2</v>
      </c>
      <c r="G27" s="263" t="str">
        <f>IF(OR(D27=0,D27="%"),"%",_xlfn.CONCAT(ROUND(F27-D27,3)*100,"pt"))</f>
        <v>-0.1pt</v>
      </c>
      <c r="H27" s="226">
        <f>IF(H8=0,"%",(-H18*H$25)/H8)</f>
        <v>5.3120145074604802E-3</v>
      </c>
      <c r="I27" s="263" t="str">
        <f>IF(OR(F27=0,F27="%"),"%",_xlfn.CONCAT(ROUND(H27-F27,3)*100,"pt"))</f>
        <v>-2.5pt</v>
      </c>
      <c r="J27" s="226">
        <f>IF(J8=0,"%",(-J18*J$25)/J8)</f>
        <v>2.8362693447902463E-2</v>
      </c>
      <c r="K27" s="263" t="str">
        <f>IF(OR(H27=0,H27="%"),"%",_xlfn.CONCAT(ROUND(J27-H27,3)*100,"pt"))</f>
        <v>2.3pt</v>
      </c>
      <c r="L27" s="226">
        <f>IF(L8=0,"%",(-L18*L$25)/L8)</f>
        <v>3.2391127905189485E-2</v>
      </c>
      <c r="M27" s="263" t="str">
        <f>IF(OR(J27=0,J27="%"),"%",_xlfn.CONCAT(ROUND(L27-J27,3)*100,"pt"))</f>
        <v>0.4pt</v>
      </c>
      <c r="N27" s="226">
        <f>IF(N8=0,"%",(-N18*N$25)/N8)</f>
        <v>2.2502431435135559E-2</v>
      </c>
      <c r="O27" s="263" t="str">
        <f>IF(OR(L27=0,L27="%"),"%",_xlfn.CONCAT(ROUND(N27-L27,3)*100,"pt"))</f>
        <v>-1pt</v>
      </c>
      <c r="P27" s="226">
        <f>IF(P8=0,"%",(-P18*P$25)/P8)</f>
        <v>2.2384309958631041E-2</v>
      </c>
      <c r="Q27" s="263" t="str">
        <f>IF(OR(N27=0,N27="%"),"%",_xlfn.CONCAT(ROUND(P27-N27,3)*100,"pt"))</f>
        <v>0pt</v>
      </c>
      <c r="R27" s="344" t="str">
        <f>IF(OR(C27=0,C27="%"),"%",_xlfn.CONCAT(ROUND(P27-C27,3)*100,"pt"))</f>
        <v>5.3pt</v>
      </c>
      <c r="S27" s="330" t="str">
        <f>IF(OR(C27=0,C27="%"),"%",_xlfn.CONCAT(ROUND((P27-C27)/7,3)*100,"pt"))</f>
        <v>0.8pt</v>
      </c>
      <c r="T27" s="287"/>
    </row>
    <row r="28" spans="1:20" s="158" customFormat="1" x14ac:dyDescent="0.2">
      <c r="A28" s="288"/>
      <c r="T28" s="287"/>
    </row>
    <row r="29" spans="1:20" ht="13.5" thickBot="1" x14ac:dyDescent="0.25">
      <c r="A29" s="288"/>
      <c r="B29" s="158"/>
      <c r="C29" s="158"/>
      <c r="D29" s="158"/>
      <c r="E29" s="158"/>
      <c r="F29" s="158"/>
      <c r="G29" s="158"/>
      <c r="H29" s="158"/>
      <c r="I29" s="158"/>
      <c r="J29" s="158"/>
      <c r="K29" s="158"/>
      <c r="L29" s="158"/>
      <c r="M29" s="158"/>
      <c r="N29" s="158"/>
      <c r="O29" s="158"/>
      <c r="P29" s="158"/>
      <c r="Q29" s="158"/>
      <c r="R29" s="158"/>
      <c r="S29" s="158"/>
      <c r="T29" s="287"/>
    </row>
    <row r="30" spans="1:20" x14ac:dyDescent="0.2">
      <c r="A30" s="288"/>
      <c r="B30" s="500" t="s">
        <v>274</v>
      </c>
      <c r="C30" s="269" t="s">
        <v>275</v>
      </c>
      <c r="D30" s="270">
        <v>0</v>
      </c>
      <c r="E30" s="160" t="s">
        <v>276</v>
      </c>
      <c r="F30" s="160"/>
      <c r="G30" s="160"/>
      <c r="H30" s="160"/>
      <c r="I30" s="160"/>
      <c r="J30" s="160"/>
      <c r="K30" s="160"/>
      <c r="L30" s="160"/>
      <c r="M30" s="160"/>
      <c r="N30" s="160"/>
      <c r="O30" s="160"/>
      <c r="P30" s="160"/>
      <c r="Q30" s="160"/>
      <c r="R30" s="160"/>
      <c r="S30" s="253"/>
      <c r="T30" s="287"/>
    </row>
    <row r="31" spans="1:20" x14ac:dyDescent="0.2">
      <c r="A31" s="288"/>
      <c r="B31" s="501"/>
      <c r="C31" s="231" t="s">
        <v>277</v>
      </c>
      <c r="D31" s="271">
        <v>0</v>
      </c>
      <c r="E31" s="158"/>
      <c r="F31" s="158"/>
      <c r="G31" s="158"/>
      <c r="H31" s="158"/>
      <c r="I31" s="158"/>
      <c r="J31" s="158"/>
      <c r="K31" s="158"/>
      <c r="L31" s="158"/>
      <c r="M31" s="158"/>
      <c r="N31" s="158"/>
      <c r="O31" s="158"/>
      <c r="P31" s="158"/>
      <c r="Q31" s="158"/>
      <c r="R31" s="158"/>
      <c r="S31" s="254"/>
      <c r="T31" s="287"/>
    </row>
    <row r="32" spans="1:20" x14ac:dyDescent="0.2">
      <c r="A32" s="288"/>
      <c r="B32" s="501"/>
      <c r="C32" s="231" t="s">
        <v>278</v>
      </c>
      <c r="D32" s="271">
        <v>0</v>
      </c>
      <c r="E32" s="158"/>
      <c r="F32" s="158"/>
      <c r="G32" s="158"/>
      <c r="H32" s="158"/>
      <c r="I32" s="158"/>
      <c r="J32" s="158"/>
      <c r="K32" s="158"/>
      <c r="L32" s="158"/>
      <c r="M32" s="158"/>
      <c r="N32" s="158"/>
      <c r="O32" s="158"/>
      <c r="P32" s="158"/>
      <c r="Q32" s="158"/>
      <c r="R32" s="158"/>
      <c r="S32" s="254"/>
      <c r="T32" s="287"/>
    </row>
    <row r="33" spans="1:20" ht="13.5" thickBot="1" x14ac:dyDescent="0.25">
      <c r="A33" s="288"/>
      <c r="B33" s="502"/>
      <c r="C33" s="268" t="s">
        <v>279</v>
      </c>
      <c r="D33" s="257">
        <f>SUM(D30:D32)</f>
        <v>0</v>
      </c>
      <c r="E33" s="231"/>
      <c r="F33" s="158"/>
      <c r="G33" s="158"/>
      <c r="H33" s="158"/>
      <c r="I33" s="158"/>
      <c r="J33" s="158"/>
      <c r="K33" s="158"/>
      <c r="L33" s="158"/>
      <c r="M33" s="158"/>
      <c r="N33" s="158"/>
      <c r="O33" s="158"/>
      <c r="P33" s="158"/>
      <c r="Q33" s="158"/>
      <c r="R33" s="158"/>
      <c r="S33" s="254"/>
      <c r="T33" s="287"/>
    </row>
    <row r="34" spans="1:20" ht="13.5" thickBot="1" x14ac:dyDescent="0.25">
      <c r="A34" s="288"/>
      <c r="B34" s="161"/>
      <c r="C34" s="158"/>
      <c r="D34" s="158"/>
      <c r="E34" s="158"/>
      <c r="F34" s="158"/>
      <c r="G34" s="158"/>
      <c r="H34" s="158"/>
      <c r="I34" s="158"/>
      <c r="J34" s="158"/>
      <c r="K34" s="158"/>
      <c r="L34" s="158"/>
      <c r="M34" s="158"/>
      <c r="N34" s="158"/>
      <c r="O34" s="158"/>
      <c r="P34" s="158"/>
      <c r="Q34" s="158"/>
      <c r="R34" s="158"/>
      <c r="S34" s="331"/>
      <c r="T34" s="287"/>
    </row>
    <row r="35" spans="1:20" x14ac:dyDescent="0.2">
      <c r="A35" s="288"/>
      <c r="B35" s="298"/>
      <c r="C35" s="294" t="s">
        <v>95</v>
      </c>
      <c r="D35" s="294" t="s">
        <v>96</v>
      </c>
      <c r="E35" s="295" t="s">
        <v>104</v>
      </c>
      <c r="F35" s="296" t="s">
        <v>173</v>
      </c>
      <c r="G35" s="295" t="s">
        <v>104</v>
      </c>
      <c r="H35" s="296" t="s">
        <v>174</v>
      </c>
      <c r="I35" s="295" t="s">
        <v>104</v>
      </c>
      <c r="J35" s="297" t="s">
        <v>175</v>
      </c>
      <c r="K35" s="295" t="s">
        <v>104</v>
      </c>
      <c r="L35" s="297" t="s">
        <v>176</v>
      </c>
      <c r="M35" s="295" t="s">
        <v>104</v>
      </c>
      <c r="N35" s="297" t="s">
        <v>177</v>
      </c>
      <c r="O35" s="295" t="s">
        <v>104</v>
      </c>
      <c r="P35" s="297" t="s">
        <v>178</v>
      </c>
      <c r="Q35" s="295" t="s">
        <v>104</v>
      </c>
      <c r="R35" s="345" t="s">
        <v>255</v>
      </c>
      <c r="S35" s="322" t="s">
        <v>256</v>
      </c>
      <c r="T35" s="287"/>
    </row>
    <row r="36" spans="1:20" x14ac:dyDescent="0.2">
      <c r="A36" s="288"/>
      <c r="B36" s="162" t="s">
        <v>280</v>
      </c>
      <c r="C36" s="227">
        <f>IF(C14=0,"%",(-C18*$D$30)/C14)</f>
        <v>0</v>
      </c>
      <c r="D36" s="227">
        <f>IF(D14=0,"%",(-D18*$D$30)/D14)</f>
        <v>0</v>
      </c>
      <c r="E36" s="261" t="str">
        <f>IF(OR(C36=0,C36="%"),"%",_xlfn.CONCAT(ROUND(D36-C36,3)*100,"pt"))</f>
        <v>%</v>
      </c>
      <c r="F36" s="227">
        <f>IF(F14=0,"%",(-F18*$D$30)/F14)</f>
        <v>0</v>
      </c>
      <c r="G36" s="261" t="str">
        <f>IF(OR(D36=0,D36="%"),"%",_xlfn.CONCAT(ROUND(F36-D36,3)*100,"pt"))</f>
        <v>%</v>
      </c>
      <c r="H36" s="227">
        <f>IF(H14=0,"%",(-H18*$D$30)/H14)</f>
        <v>0</v>
      </c>
      <c r="I36" s="261" t="str">
        <f>IF(OR(F36=0,F36="%"),"%",_xlfn.CONCAT(ROUND(H36-F36,3)*100,"pt"))</f>
        <v>%</v>
      </c>
      <c r="J36" s="227">
        <f>IF(J14=0,"%",(-J18*$D$30)/J14)</f>
        <v>0</v>
      </c>
      <c r="K36" s="261" t="str">
        <f>IF(OR(H36=0,H36="%"),"%",_xlfn.CONCAT(ROUND(J36-H36,3)*100,"pt"))</f>
        <v>%</v>
      </c>
      <c r="L36" s="227">
        <f>IF(L14=0,"%",(-L18*$D$30)/L14)</f>
        <v>0</v>
      </c>
      <c r="M36" s="261" t="str">
        <f>IF(OR(J36=0,J36="%"),"%",_xlfn.CONCAT(ROUND(L36-J36,3)*100,"pt"))</f>
        <v>%</v>
      </c>
      <c r="N36" s="227">
        <f>IF(N14=0,"%",(-N18*$D$30)/N14)</f>
        <v>0</v>
      </c>
      <c r="O36" s="261" t="str">
        <f>IF(OR(L36=0,L36="%"),"%",_xlfn.CONCAT(ROUND(N36-L36,3)*100,"pt"))</f>
        <v>%</v>
      </c>
      <c r="P36" s="227">
        <f>IF(P14=0,"%",(-P18*$D$30)/P14)</f>
        <v>0</v>
      </c>
      <c r="Q36" s="261" t="str">
        <f>IF(OR(N36=0,N36="%"),"%",_xlfn.CONCAT(ROUND(P36-N36,3)*100,"pt"))</f>
        <v>%</v>
      </c>
      <c r="R36" s="343" t="str">
        <f>IF(OR(C36=0,C36="%"),"%",_xlfn.CONCAT(ROUND(P36-C36,3)*100,"pt"))</f>
        <v>%</v>
      </c>
      <c r="S36" s="262" t="str">
        <f>IF(OR(C36=0,C36="%"),"%",_xlfn.CONCAT(ROUND((P36-C36)/7,3)*100,"pt"))</f>
        <v>%</v>
      </c>
      <c r="T36" s="287"/>
    </row>
    <row r="37" spans="1:20" x14ac:dyDescent="0.2">
      <c r="A37" s="288"/>
      <c r="B37" s="162" t="s">
        <v>281</v>
      </c>
      <c r="C37" s="227">
        <f>IF(C10=0,"%",(-C18*$D$31)/(C10))</f>
        <v>0</v>
      </c>
      <c r="D37" s="227">
        <f>IF(D10=0,"%",(-D18*$D$31)/(D10))</f>
        <v>0</v>
      </c>
      <c r="E37" s="261" t="str">
        <f>IF(OR(C37=0,C37="%"),"%",_xlfn.CONCAT(ROUND(D37-C37,3)*100,"pt"))</f>
        <v>%</v>
      </c>
      <c r="F37" s="227">
        <f>IF(F10=0,"%",(-F18*$D$31)/(F10))</f>
        <v>0</v>
      </c>
      <c r="G37" s="261" t="str">
        <f>IF(OR(D37=0,D37="%"),"%",_xlfn.CONCAT(ROUND(F37-D37,3)*100,"pt"))</f>
        <v>%</v>
      </c>
      <c r="H37" s="227">
        <f>IF(H10=0,"%",(-H18*$D$31)/(H10))</f>
        <v>0</v>
      </c>
      <c r="I37" s="261" t="str">
        <f>IF(OR(F37=0,F37="%"),"%",_xlfn.CONCAT(ROUND(H37-F37,3)*100,"pt"))</f>
        <v>%</v>
      </c>
      <c r="J37" s="227">
        <f>IF(J10=0,"%",(-J18*$D$31)/(J10))</f>
        <v>0</v>
      </c>
      <c r="K37" s="261" t="str">
        <f>IF(OR(H37=0,H37="%"),"%",_xlfn.CONCAT(ROUND(J37-H37,3)*100,"pt"))</f>
        <v>%</v>
      </c>
      <c r="L37" s="227">
        <f>IF(L10=0,"%",(-L18*$D$31)/(L10))</f>
        <v>0</v>
      </c>
      <c r="M37" s="261" t="str">
        <f>IF(OR(J37=0,J37="%"),"%",_xlfn.CONCAT(ROUND(L37-J37,3)*100,"pt"))</f>
        <v>%</v>
      </c>
      <c r="N37" s="227">
        <f>IF(N10=0,"%",(-N18*$D$31)/(N10))</f>
        <v>0</v>
      </c>
      <c r="O37" s="261" t="str">
        <f>IF(OR(L37=0,L37="%"),"%",_xlfn.CONCAT(ROUND(N37-L37,3)*100,"pt"))</f>
        <v>%</v>
      </c>
      <c r="P37" s="227">
        <f>IF(P10=0,"%",(-P18*$D$31)/(P10))</f>
        <v>0</v>
      </c>
      <c r="Q37" s="261" t="str">
        <f>IF(OR(N37=0,N37="%"),"%",_xlfn.CONCAT(ROUND(P37-N37,3)*100,"pt"))</f>
        <v>%</v>
      </c>
      <c r="R37" s="343" t="str">
        <f>IF(OR(C37=0,C37="%"),"%",_xlfn.CONCAT(ROUND(P37-C37,3)*100,"pt"))</f>
        <v>%</v>
      </c>
      <c r="S37" s="262" t="str">
        <f>IF(OR(C37=0,C37="%"),"%",_xlfn.CONCAT(ROUND((P37-C37)/7,3)*100,"pt"))</f>
        <v>%</v>
      </c>
      <c r="T37" s="287"/>
    </row>
    <row r="38" spans="1:20" x14ac:dyDescent="0.2">
      <c r="A38" s="288"/>
      <c r="B38" s="162" t="s">
        <v>273</v>
      </c>
      <c r="C38" s="227">
        <f>IF(C8=0,"%",(-C18*$D$32)/C8)</f>
        <v>0</v>
      </c>
      <c r="D38" s="227">
        <f>IF(D8=0,"%",(-D18*$D$32)/D8)</f>
        <v>0</v>
      </c>
      <c r="E38" s="261" t="str">
        <f>IF(OR(C38=0,C38="%"),"%",_xlfn.CONCAT(ROUND(D38-C38,3)*100,"pt"))</f>
        <v>%</v>
      </c>
      <c r="F38" s="227">
        <f>IF(F8=0,"%",(-F18*$D$32)/F8)</f>
        <v>0</v>
      </c>
      <c r="G38" s="261" t="str">
        <f>IF(OR(D38=0,D38="%"),"%",_xlfn.CONCAT(ROUND(F38-D38,3)*100,"pt"))</f>
        <v>%</v>
      </c>
      <c r="H38" s="227">
        <f>IF(H8=0,"%",(-H18*$D$32)/H8)</f>
        <v>0</v>
      </c>
      <c r="I38" s="261" t="str">
        <f>IF(OR(F38=0,F38="%"),"%",_xlfn.CONCAT(ROUND(H38-F38,3)*100,"pt"))</f>
        <v>%</v>
      </c>
      <c r="J38" s="227">
        <f>IF(J8=0,"%",(-J18*$D$32)/J8)</f>
        <v>0</v>
      </c>
      <c r="K38" s="261" t="str">
        <f>IF(OR(H38=0,H38="%"),"%",_xlfn.CONCAT(ROUND(J38-H38,3)*100,"pt"))</f>
        <v>%</v>
      </c>
      <c r="L38" s="227">
        <f>IF(L8=0,"%",(-L18*$D$32)/L8)</f>
        <v>0</v>
      </c>
      <c r="M38" s="261" t="str">
        <f>IF(OR(J38=0,J38="%"),"%",_xlfn.CONCAT(ROUND(L38-J38,3)*100,"pt"))</f>
        <v>%</v>
      </c>
      <c r="N38" s="227">
        <f>IF(N8=0,"%",(-N18*$D$32)/N8)</f>
        <v>0</v>
      </c>
      <c r="O38" s="261" t="str">
        <f>IF(OR(L38=0,L38="%"),"%",_xlfn.CONCAT(ROUND(N38-L38,3)*100,"pt"))</f>
        <v>%</v>
      </c>
      <c r="P38" s="227">
        <f>IF(P8=0,"%",(-P18*$D$32)/P8)</f>
        <v>0</v>
      </c>
      <c r="Q38" s="261" t="str">
        <f>IF(OR(N38=0,N38="%"),"%",_xlfn.CONCAT(ROUND(P38-N38,3)*100,"pt"))</f>
        <v>%</v>
      </c>
      <c r="R38" s="343" t="str">
        <f>IF(OR(C38=0,C38="%"),"%",_xlfn.CONCAT(ROUND(P38-C38,3)*100,"pt"))</f>
        <v>%</v>
      </c>
      <c r="S38" s="262" t="str">
        <f>IF(OR(C38=0,C38="%"),"%",_xlfn.CONCAT(ROUND((P38-C38)/7,3)*100,"pt"))</f>
        <v>%</v>
      </c>
      <c r="T38" s="287"/>
    </row>
    <row r="39" spans="1:20" ht="13.5" thickBot="1" x14ac:dyDescent="0.25">
      <c r="A39" s="288"/>
      <c r="B39" s="255" t="s">
        <v>262</v>
      </c>
      <c r="C39" s="256">
        <f>IF(C8=0,"%",((1+C38)*C8)/(((1+C37)*C10)+((1+C38)*C8)))</f>
        <v>0.23049145841678992</v>
      </c>
      <c r="D39" s="256">
        <f>IF(D8=0,"%",((1+D38)*D8)/(((1+D37)*D10)+((1+D38)*D8)))</f>
        <v>0.2274166044441194</v>
      </c>
      <c r="E39" s="263" t="str">
        <f>IF(OR(C39=0,C39="%"),"%",_xlfn.CONCAT(ROUND(D39-C39,3)*100,"pt"))</f>
        <v>-0.3pt</v>
      </c>
      <c r="F39" s="256">
        <f>IF(F8=0,"%",((1+F38)*F8)/(((1+F37)*F10)+((1+F38)*F8)))</f>
        <v>0.22591469225051605</v>
      </c>
      <c r="G39" s="263" t="str">
        <f>IF(OR(D39=0,D39="%"),"%",_xlfn.CONCAT(ROUND(F39-D39,3)*100,"pt"))</f>
        <v>-0.2pt</v>
      </c>
      <c r="H39" s="256">
        <f>IF(H8=0,"%",((1+H38)*H8)/(((1+H37)*H10)+((1+H38)*H8)))</f>
        <v>0.22360750952962427</v>
      </c>
      <c r="I39" s="263" t="str">
        <f>IF(OR(F39=0,F39="%"),"%",_xlfn.CONCAT(ROUND(H39-F39,3)*100,"pt"))</f>
        <v>-0.2pt</v>
      </c>
      <c r="J39" s="256">
        <f>IF(J8=0,"%",((1+J38)*J8)/(((1+J37)*J10)+((1+J38)*J8)))</f>
        <v>0.22454701918403575</v>
      </c>
      <c r="K39" s="263" t="str">
        <f>IF(OR(H39=0,H39="%"),"%",_xlfn.CONCAT(ROUND(J39-H39,3)*100,"pt"))</f>
        <v>0.1pt</v>
      </c>
      <c r="L39" s="256">
        <f>IF(L8=0,"%",((1+L38)*L8)/(((1+L37)*L10)+((1+L38)*L8)))</f>
        <v>0.2262311838054441</v>
      </c>
      <c r="M39" s="263" t="str">
        <f>IF(OR(J39=0,J39="%"),"%",_xlfn.CONCAT(ROUND(L39-J39,3)*100,"pt"))</f>
        <v>0.2pt</v>
      </c>
      <c r="N39" s="256">
        <f>IF(N8=0,"%",((1+N38)*N8)/(((1+N37)*N10)+((1+N38)*N8)))</f>
        <v>0.22792322314769692</v>
      </c>
      <c r="O39" s="263" t="str">
        <f>IF(OR(L39=0,L39="%"),"%",_xlfn.CONCAT(ROUND(N39-L39,3)*100,"pt"))</f>
        <v>0.2pt</v>
      </c>
      <c r="P39" s="256">
        <f>IF(P8=0,"%",((1+P38)*P8)/(((1+P37)*P10)+((1+P38)*P8)))</f>
        <v>0.22962281428373457</v>
      </c>
      <c r="Q39" s="263" t="str">
        <f>IF(OR(N39=0,N39="%"),"%",_xlfn.CONCAT(ROUND(P39-N39,3)*100,"pt"))</f>
        <v>0.2pt</v>
      </c>
      <c r="R39" s="344" t="str">
        <f>IF(OR(C39=0,C39="%"),"%",_xlfn.CONCAT(ROUND(P39-C39,3)*100,"pt"))</f>
        <v>-0.1pt</v>
      </c>
      <c r="S39" s="330" t="str">
        <f>IF(OR(C39=0,C39="%"),"%",_xlfn.CONCAT(ROUND((P39-C39)/7,3)*100,"pt"))</f>
        <v>0pt</v>
      </c>
      <c r="T39" s="287"/>
    </row>
    <row r="40" spans="1:20" x14ac:dyDescent="0.2">
      <c r="A40" s="288"/>
      <c r="B40" s="158"/>
      <c r="C40" s="158"/>
      <c r="D40" s="158"/>
      <c r="E40" s="158"/>
      <c r="F40" s="158"/>
      <c r="G40" s="158"/>
      <c r="H40" s="158"/>
      <c r="I40" s="158"/>
      <c r="J40" s="158"/>
      <c r="K40" s="158"/>
      <c r="L40" s="158"/>
      <c r="M40" s="158"/>
      <c r="N40" s="158"/>
      <c r="O40" s="158"/>
      <c r="P40" s="158"/>
      <c r="Q40" s="158"/>
      <c r="R40" s="158"/>
      <c r="S40" s="158"/>
      <c r="T40" s="287"/>
    </row>
    <row r="41" spans="1:20" x14ac:dyDescent="0.2">
      <c r="A41" s="288"/>
      <c r="B41" s="158"/>
      <c r="C41" s="158"/>
      <c r="D41" s="158"/>
      <c r="E41" s="158"/>
      <c r="F41" s="158"/>
      <c r="G41" s="158"/>
      <c r="H41" s="158"/>
      <c r="I41" s="158"/>
      <c r="J41" s="158"/>
      <c r="K41" s="158"/>
      <c r="L41" s="158"/>
      <c r="M41" s="158"/>
      <c r="N41" s="158"/>
      <c r="O41" s="158"/>
      <c r="P41" s="158"/>
      <c r="Q41" s="158"/>
      <c r="R41" s="158"/>
      <c r="S41" s="158"/>
      <c r="T41" s="287"/>
    </row>
    <row r="42" spans="1:20" x14ac:dyDescent="0.2">
      <c r="A42" s="290"/>
      <c r="B42" s="159"/>
      <c r="C42" s="159"/>
      <c r="D42" s="159"/>
      <c r="E42" s="159"/>
      <c r="F42" s="159"/>
      <c r="G42" s="159"/>
      <c r="H42" s="159"/>
      <c r="I42" s="159"/>
      <c r="J42" s="159"/>
      <c r="K42" s="159"/>
      <c r="L42" s="159"/>
      <c r="M42" s="159"/>
      <c r="N42" s="159"/>
      <c r="O42" s="159"/>
      <c r="P42" s="159"/>
      <c r="Q42" s="159"/>
      <c r="R42" s="159"/>
      <c r="S42" s="159"/>
      <c r="T42" s="291"/>
    </row>
  </sheetData>
  <mergeCells count="4">
    <mergeCell ref="B30:B33"/>
    <mergeCell ref="A2:G2"/>
    <mergeCell ref="R6:S6"/>
    <mergeCell ref="A3:S4"/>
  </mergeCells>
  <pageMargins left="0.25" right="0.25" top="0.75" bottom="0.75" header="0.3" footer="0.3"/>
  <pageSetup paperSize="17"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1"/>
  <sheetViews>
    <sheetView topLeftCell="A4" zoomScaleNormal="100" workbookViewId="0">
      <selection activeCell="D12" sqref="D12"/>
    </sheetView>
  </sheetViews>
  <sheetFormatPr defaultColWidth="9.140625" defaultRowHeight="12.75" x14ac:dyDescent="0.2"/>
  <cols>
    <col min="1" max="1" width="9.140625" style="1"/>
    <col min="2" max="2" width="50.5703125" style="1" customWidth="1"/>
    <col min="3" max="3" width="40" style="1" customWidth="1"/>
    <col min="4" max="4" width="18.5703125" style="1" customWidth="1"/>
    <col min="5" max="5" width="15.42578125" style="1" customWidth="1"/>
    <col min="6" max="6" width="18.5703125" style="1" customWidth="1"/>
    <col min="7" max="7" width="16.42578125" style="1" customWidth="1"/>
    <col min="8" max="8" width="73.28515625" style="1" customWidth="1"/>
    <col min="9" max="16384" width="9.140625" style="1"/>
  </cols>
  <sheetData>
    <row r="1" spans="1:9" ht="20.100000000000001" customHeight="1" x14ac:dyDescent="0.2">
      <c r="A1" s="48" t="s">
        <v>282</v>
      </c>
      <c r="B1" s="48"/>
      <c r="C1" s="48"/>
      <c r="D1" s="48"/>
      <c r="E1" s="48"/>
      <c r="F1" s="48"/>
      <c r="G1" s="48"/>
    </row>
    <row r="2" spans="1:9" ht="20.100000000000001" customHeight="1" x14ac:dyDescent="0.2">
      <c r="A2" s="513" t="str">
        <f>'Institution ID'!C3</f>
        <v>University of Virginia</v>
      </c>
      <c r="B2" s="513"/>
      <c r="C2" s="513"/>
      <c r="D2" s="513"/>
      <c r="E2" s="513"/>
      <c r="F2" s="513"/>
      <c r="G2" s="513"/>
    </row>
    <row r="3" spans="1:9" s="6" customFormat="1" ht="30" customHeight="1" x14ac:dyDescent="0.2">
      <c r="A3" s="506" t="s">
        <v>27</v>
      </c>
      <c r="B3" s="506"/>
      <c r="C3" s="506"/>
      <c r="D3" s="506"/>
      <c r="E3" s="506"/>
      <c r="F3" s="506"/>
      <c r="G3" s="506"/>
      <c r="H3" s="506"/>
    </row>
    <row r="4" spans="1:9" s="6" customFormat="1" ht="114" customHeight="1" thickBot="1" x14ac:dyDescent="0.25">
      <c r="A4" s="521"/>
      <c r="B4" s="521"/>
      <c r="C4" s="521"/>
      <c r="D4" s="521"/>
      <c r="E4" s="521"/>
      <c r="F4" s="521"/>
      <c r="G4" s="521"/>
      <c r="H4" s="521"/>
    </row>
    <row r="5" spans="1:9" s="3" customFormat="1" ht="20.100000000000001" customHeight="1" thickBot="1" x14ac:dyDescent="0.25">
      <c r="A5" s="514" t="s">
        <v>283</v>
      </c>
      <c r="B5" s="508" t="s">
        <v>284</v>
      </c>
      <c r="C5" s="509"/>
      <c r="D5" s="509"/>
      <c r="E5" s="509"/>
      <c r="F5" s="509"/>
      <c r="G5" s="509"/>
      <c r="H5" s="510" t="s">
        <v>285</v>
      </c>
    </row>
    <row r="6" spans="1:9" s="3" customFormat="1" ht="20.100000000000001" customHeight="1" thickBot="1" x14ac:dyDescent="0.25">
      <c r="A6" s="515"/>
      <c r="B6" s="44"/>
      <c r="C6" s="372"/>
      <c r="D6" s="508" t="s">
        <v>286</v>
      </c>
      <c r="E6" s="509"/>
      <c r="F6" s="509"/>
      <c r="G6" s="509"/>
      <c r="H6" s="511"/>
    </row>
    <row r="7" spans="1:9" s="3" customFormat="1" ht="20.100000000000001" customHeight="1" thickBot="1" x14ac:dyDescent="0.25">
      <c r="A7" s="515"/>
      <c r="B7" s="510" t="s">
        <v>287</v>
      </c>
      <c r="C7" s="518" t="s">
        <v>288</v>
      </c>
      <c r="D7" s="509"/>
      <c r="E7" s="509"/>
      <c r="F7" s="509"/>
      <c r="G7" s="509"/>
      <c r="H7" s="511"/>
    </row>
    <row r="8" spans="1:9" s="3" customFormat="1" ht="20.100000000000001" customHeight="1" thickBot="1" x14ac:dyDescent="0.25">
      <c r="A8" s="515"/>
      <c r="B8" s="511"/>
      <c r="C8" s="519"/>
      <c r="D8" s="508" t="s">
        <v>173</v>
      </c>
      <c r="E8" s="509"/>
      <c r="F8" s="512" t="s">
        <v>174</v>
      </c>
      <c r="G8" s="509"/>
      <c r="H8" s="511"/>
    </row>
    <row r="9" spans="1:9" s="3" customFormat="1" ht="42" customHeight="1" thickBot="1" x14ac:dyDescent="0.25">
      <c r="A9" s="516"/>
      <c r="B9" s="517"/>
      <c r="C9" s="520"/>
      <c r="D9" s="49" t="s">
        <v>181</v>
      </c>
      <c r="E9" s="50" t="s">
        <v>289</v>
      </c>
      <c r="F9" s="51" t="s">
        <v>181</v>
      </c>
      <c r="G9" s="50" t="s">
        <v>289</v>
      </c>
      <c r="H9" s="511"/>
    </row>
    <row r="10" spans="1:9" ht="15.75" thickBot="1" x14ac:dyDescent="0.25">
      <c r="A10" s="408">
        <v>1</v>
      </c>
      <c r="B10" s="43" t="s">
        <v>290</v>
      </c>
      <c r="C10" s="45" t="s">
        <v>291</v>
      </c>
      <c r="D10" s="42"/>
      <c r="E10" s="42">
        <v>111000000</v>
      </c>
      <c r="F10" s="42"/>
      <c r="G10" s="42">
        <v>0</v>
      </c>
      <c r="H10" s="43"/>
      <c r="I10" s="380"/>
    </row>
    <row r="11" spans="1:9" ht="15.75" thickBot="1" x14ac:dyDescent="0.25">
      <c r="A11" s="408">
        <v>2</v>
      </c>
      <c r="B11" s="43" t="s">
        <v>292</v>
      </c>
      <c r="C11" s="45" t="s">
        <v>293</v>
      </c>
      <c r="D11" s="42">
        <v>30500000</v>
      </c>
      <c r="E11" s="42">
        <v>15500000</v>
      </c>
      <c r="F11" s="42">
        <v>500000</v>
      </c>
      <c r="G11" s="42">
        <v>500000</v>
      </c>
      <c r="H11" s="43" t="s">
        <v>294</v>
      </c>
      <c r="I11" s="380"/>
    </row>
    <row r="12" spans="1:9" ht="15.75" thickBot="1" x14ac:dyDescent="0.25">
      <c r="A12" s="408">
        <v>3</v>
      </c>
      <c r="B12" s="43" t="s">
        <v>295</v>
      </c>
      <c r="C12" s="45" t="s">
        <v>296</v>
      </c>
      <c r="D12" s="42">
        <v>582635</v>
      </c>
      <c r="E12" s="42">
        <f>D12*0.313</f>
        <v>182364.755</v>
      </c>
      <c r="F12" s="42">
        <f>D12*1.02</f>
        <v>594287.69999999995</v>
      </c>
      <c r="G12" s="42">
        <f>F12*0.313</f>
        <v>186012.05009999999</v>
      </c>
      <c r="H12" s="43" t="s">
        <v>294</v>
      </c>
      <c r="I12" s="380"/>
    </row>
    <row r="13" spans="1:9" ht="15.75" thickBot="1" x14ac:dyDescent="0.25">
      <c r="A13" s="408">
        <v>4</v>
      </c>
      <c r="B13" s="43" t="s">
        <v>297</v>
      </c>
      <c r="C13" s="45" t="s">
        <v>298</v>
      </c>
      <c r="D13" s="42">
        <v>2900000</v>
      </c>
      <c r="E13" s="42">
        <v>2900000</v>
      </c>
      <c r="F13" s="42">
        <f>0</f>
        <v>0</v>
      </c>
      <c r="G13" s="42">
        <f>0</f>
        <v>0</v>
      </c>
      <c r="H13" s="43" t="s">
        <v>294</v>
      </c>
      <c r="I13" s="380"/>
    </row>
    <row r="14" spans="1:9" ht="28.5" x14ac:dyDescent="0.2">
      <c r="A14" s="408">
        <v>5</v>
      </c>
      <c r="B14" s="43" t="s">
        <v>299</v>
      </c>
      <c r="C14" s="45" t="s">
        <v>291</v>
      </c>
      <c r="D14" s="42">
        <v>11540000</v>
      </c>
      <c r="E14" s="42">
        <v>5770000</v>
      </c>
      <c r="F14" s="42">
        <v>11540000</v>
      </c>
      <c r="G14" s="42">
        <v>5770000</v>
      </c>
      <c r="H14" s="43" t="s">
        <v>294</v>
      </c>
      <c r="I14" s="380"/>
    </row>
    <row r="15" spans="1:9" ht="29.25" thickBot="1" x14ac:dyDescent="0.25">
      <c r="A15" s="408">
        <v>6</v>
      </c>
      <c r="B15" s="43" t="s">
        <v>300</v>
      </c>
      <c r="C15" s="45" t="s">
        <v>301</v>
      </c>
      <c r="D15" s="42">
        <v>6760232.7410000004</v>
      </c>
      <c r="E15" s="42">
        <f>D15</f>
        <v>6760232.7410000004</v>
      </c>
      <c r="F15" s="42">
        <v>8051771.7644600011</v>
      </c>
      <c r="G15" s="42">
        <f>F15</f>
        <v>8051771.7644600011</v>
      </c>
      <c r="H15" s="387" t="s">
        <v>294</v>
      </c>
      <c r="I15" s="380"/>
    </row>
    <row r="16" spans="1:9" ht="15.75" thickBot="1" x14ac:dyDescent="0.25">
      <c r="A16" s="408">
        <v>7</v>
      </c>
      <c r="B16" s="43" t="s">
        <v>302</v>
      </c>
      <c r="C16" s="45" t="s">
        <v>296</v>
      </c>
      <c r="D16" s="42">
        <v>19071656.918627352</v>
      </c>
      <c r="E16" s="42">
        <v>5969428.6155303614</v>
      </c>
      <c r="F16" s="42">
        <v>23557132.264441133</v>
      </c>
      <c r="G16" s="42">
        <v>7373382.3987700744</v>
      </c>
      <c r="H16" s="43" t="s">
        <v>294</v>
      </c>
      <c r="I16" s="380"/>
    </row>
    <row r="17" spans="1:9" ht="15.75" thickBot="1" x14ac:dyDescent="0.25">
      <c r="A17" s="408">
        <v>8</v>
      </c>
      <c r="B17" s="43" t="s">
        <v>303</v>
      </c>
      <c r="C17" s="45" t="s">
        <v>296</v>
      </c>
      <c r="D17" s="42">
        <v>2635473.9500000002</v>
      </c>
      <c r="E17" s="42">
        <v>824903.34635000001</v>
      </c>
      <c r="F17" s="42">
        <v>5178008.1500000004</v>
      </c>
      <c r="G17" s="42">
        <v>1620716.5509500001</v>
      </c>
      <c r="H17" s="43" t="s">
        <v>294</v>
      </c>
      <c r="I17" s="380"/>
    </row>
    <row r="18" spans="1:9" ht="15.75" thickBot="1" x14ac:dyDescent="0.25">
      <c r="A18" s="408">
        <v>9</v>
      </c>
      <c r="B18" s="43" t="s">
        <v>304</v>
      </c>
      <c r="C18" s="45" t="s">
        <v>296</v>
      </c>
      <c r="D18" s="42">
        <v>1522691.4479999978</v>
      </c>
      <c r="E18" s="42">
        <v>476602.42322399933</v>
      </c>
      <c r="F18" s="42">
        <v>1568372.1914399976</v>
      </c>
      <c r="G18" s="42">
        <v>490900.49592071929</v>
      </c>
      <c r="H18" s="43" t="s">
        <v>294</v>
      </c>
      <c r="I18" s="380"/>
    </row>
    <row r="19" spans="1:9" ht="20.100000000000001" customHeight="1" thickBot="1" x14ac:dyDescent="0.25">
      <c r="A19" s="408">
        <v>10</v>
      </c>
      <c r="B19" s="43" t="s">
        <v>305</v>
      </c>
      <c r="C19" s="45"/>
      <c r="D19" s="42">
        <v>350000</v>
      </c>
      <c r="E19" s="42">
        <v>350000</v>
      </c>
      <c r="F19" s="42">
        <v>350000</v>
      </c>
      <c r="G19" s="42">
        <v>350000</v>
      </c>
      <c r="H19" s="43" t="s">
        <v>294</v>
      </c>
    </row>
    <row r="20" spans="1:9" ht="20.100000000000001" customHeight="1" thickBot="1" x14ac:dyDescent="0.25">
      <c r="A20" s="408"/>
      <c r="B20" s="43"/>
      <c r="C20" s="45"/>
      <c r="D20" s="42">
        <f>0</f>
        <v>0</v>
      </c>
      <c r="E20" s="42">
        <f>0</f>
        <v>0</v>
      </c>
      <c r="F20" s="42">
        <f>0</f>
        <v>0</v>
      </c>
      <c r="G20" s="42">
        <f>0</f>
        <v>0</v>
      </c>
      <c r="H20" s="43"/>
    </row>
    <row r="21" spans="1:9" ht="20.100000000000001" customHeight="1" thickBot="1" x14ac:dyDescent="0.25">
      <c r="A21" s="408"/>
      <c r="B21" s="43"/>
      <c r="C21" s="45"/>
      <c r="D21" s="42">
        <f>0</f>
        <v>0</v>
      </c>
      <c r="E21" s="42">
        <f>0</f>
        <v>0</v>
      </c>
      <c r="F21" s="42">
        <f>0</f>
        <v>0</v>
      </c>
      <c r="G21" s="42">
        <f>0</f>
        <v>0</v>
      </c>
      <c r="H21" s="43"/>
    </row>
    <row r="22" spans="1:9" ht="20.100000000000001" customHeight="1" thickBot="1" x14ac:dyDescent="0.25">
      <c r="A22" s="408"/>
      <c r="B22" s="43"/>
      <c r="C22" s="45"/>
      <c r="D22" s="42">
        <f>0</f>
        <v>0</v>
      </c>
      <c r="E22" s="42">
        <f>0</f>
        <v>0</v>
      </c>
      <c r="F22" s="42">
        <f>0</f>
        <v>0</v>
      </c>
      <c r="G22" s="42">
        <f>0</f>
        <v>0</v>
      </c>
      <c r="H22" s="43"/>
    </row>
    <row r="23" spans="1:9" ht="20.100000000000001" customHeight="1" x14ac:dyDescent="0.2">
      <c r="A23" s="408"/>
      <c r="B23" s="43"/>
      <c r="C23" s="45"/>
      <c r="D23" s="383">
        <f>0</f>
        <v>0</v>
      </c>
      <c r="E23" s="383">
        <f>0</f>
        <v>0</v>
      </c>
      <c r="F23" s="383">
        <f>0</f>
        <v>0</v>
      </c>
      <c r="G23" s="383">
        <f>0</f>
        <v>0</v>
      </c>
      <c r="H23" s="43"/>
    </row>
    <row r="24" spans="1:9" ht="15" x14ac:dyDescent="0.2">
      <c r="A24" s="101"/>
      <c r="B24" s="101"/>
      <c r="C24" s="101"/>
      <c r="D24" s="101">
        <f>SUM(D10:D23)</f>
        <v>75862690.05762735</v>
      </c>
      <c r="E24" s="101">
        <f>SUM(E10:E23)</f>
        <v>149733531.88110438</v>
      </c>
      <c r="F24" s="101">
        <f>SUM(F10:F23)</f>
        <v>51339572.070341133</v>
      </c>
      <c r="G24" s="101">
        <f>SUM(G10:G23)</f>
        <v>24342783.260200791</v>
      </c>
      <c r="H24" s="101"/>
    </row>
    <row r="25" spans="1:9" x14ac:dyDescent="0.2">
      <c r="B25" s="507"/>
      <c r="C25" s="507"/>
      <c r="D25" s="507"/>
      <c r="E25" s="507"/>
    </row>
    <row r="26" spans="1:9" x14ac:dyDescent="0.2">
      <c r="D26" s="403"/>
      <c r="E26" s="403"/>
      <c r="F26" s="403"/>
    </row>
    <row r="27" spans="1:9" x14ac:dyDescent="0.2">
      <c r="D27" s="403"/>
      <c r="E27" s="403"/>
      <c r="F27" s="403"/>
      <c r="G27" s="379"/>
    </row>
    <row r="28" spans="1:9" x14ac:dyDescent="0.2">
      <c r="D28" s="403"/>
      <c r="E28" s="403"/>
      <c r="F28" s="403"/>
    </row>
    <row r="29" spans="1:9" x14ac:dyDescent="0.2">
      <c r="D29" s="403"/>
      <c r="E29" s="403"/>
      <c r="F29" s="403"/>
    </row>
    <row r="30" spans="1:9" x14ac:dyDescent="0.2">
      <c r="D30" s="403"/>
      <c r="E30" s="403"/>
      <c r="F30" s="403"/>
    </row>
    <row r="31" spans="1:9" x14ac:dyDescent="0.2">
      <c r="D31" s="403"/>
      <c r="E31" s="403"/>
      <c r="F31" s="403"/>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25" right="0.25" top="0.75" bottom="0.75" header="0.3" footer="0.3"/>
  <pageSetup scale="55"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Props1.xml><?xml version="1.0" encoding="utf-8"?>
<ds:datastoreItem xmlns:ds="http://schemas.openxmlformats.org/officeDocument/2006/customXml" ds:itemID="{0C922320-9A12-478B-9F9F-7E993BF75172}"/>
</file>

<file path=customXml/itemProps2.xml><?xml version="1.0" encoding="utf-8"?>
<ds:datastoreItem xmlns:ds="http://schemas.openxmlformats.org/officeDocument/2006/customXml" ds:itemID="{3E6C5413-E7E9-4C8F-A21A-8400F498CE78}">
  <ds:schemaRefs>
    <ds:schemaRef ds:uri="http://schemas.microsoft.com/sharepoint/v3/contenttype/forms"/>
  </ds:schemaRefs>
</ds:datastoreItem>
</file>

<file path=customXml/itemProps3.xml><?xml version="1.0" encoding="utf-8"?>
<ds:datastoreItem xmlns:ds="http://schemas.openxmlformats.org/officeDocument/2006/customXml" ds:itemID="{B173ED9B-A135-4073-9603-C359238DEB16}">
  <ds:schemaRefs>
    <ds:schemaRef ds:uri="http://schemas.microsoft.com/office/2006/metadata/properties"/>
    <ds:schemaRef ds:uri="http://schemas.microsoft.com/office/infopath/2007/PartnerControls"/>
    <ds:schemaRef ds:uri="6500a0bb-1402-429b-9ba8-de1ab8e182d1"/>
    <ds:schemaRef ds:uri="656e7e3c-1c82-4278-9d63-725be64abf13"/>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Cabaniss, Penny (pqc2f)</cp:lastModifiedBy>
  <cp:revision/>
  <cp:lastPrinted>2023-08-31T14:19:28Z</cp:lastPrinted>
  <dcterms:created xsi:type="dcterms:W3CDTF">2011-02-22T14:15:27Z</dcterms:created>
  <dcterms:modified xsi:type="dcterms:W3CDTF">2023-09-01T21:04:52Z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209100</vt:r8>
  </property>
  <property fmtid="{D5CDD505-2E9C-101B-9397-08002B2CF9AE}" pid="13" name="ComplianceAssetId">
    <vt:lpwstr/>
  </property>
  <property fmtid="{D5CDD505-2E9C-101B-9397-08002B2CF9AE}" pid="14" name="_ExtendedDescription">
    <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ies>
</file>