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https://spartansnsu-my.sharepoint.com/personal/dxjones_nsu_edu/Documents/Desktop/djfiles/NSU/Six Year Plan/2023 SYP/Tom/New folder/"/>
    </mc:Choice>
  </mc:AlternateContent>
  <xr:revisionPtr revIDLastSave="0" documentId="8_{56E45466-78D0-47B0-8414-ACBC7C0DB1FB}" xr6:coauthVersionLast="47" xr6:coauthVersionMax="47" xr10:uidLastSave="{00000000-0000-0000-0000-000000000000}"/>
  <bookViews>
    <workbookView xWindow="-120" yWindow="-120" windowWidth="29040" windowHeight="15840" tabRatio="659" activeTab="8"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'4-Academic-Financial'!$A$1:$Q$57</definedName>
    <definedName name="_xlnm.Print_Area" localSheetId="8">'6-GF Request'!$A$1:$H$23</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5" l="1"/>
  <c r="G19" i="21"/>
  <c r="F19" i="21"/>
  <c r="E19" i="21"/>
  <c r="D19" i="21"/>
  <c r="G16" i="21"/>
  <c r="E16" i="21"/>
  <c r="E15" i="21"/>
  <c r="D6" i="5"/>
  <c r="J37" i="5" l="1"/>
  <c r="I37" i="5"/>
  <c r="F37" i="5"/>
  <c r="E37" i="5"/>
  <c r="E35" i="5" l="1"/>
  <c r="E36" i="5"/>
  <c r="E38" i="5"/>
  <c r="E40" i="5"/>
  <c r="E41" i="5"/>
  <c r="I42" i="5"/>
  <c r="E42" i="5"/>
  <c r="J36" i="5"/>
  <c r="I36" i="5"/>
  <c r="F36" i="5"/>
  <c r="H6" i="5" l="1"/>
  <c r="Q25" i="2" l="1"/>
  <c r="Q23" i="2"/>
  <c r="Q22" i="2"/>
  <c r="Q21" i="2"/>
  <c r="Q20" i="2"/>
  <c r="Q19" i="2"/>
  <c r="Q18" i="2"/>
  <c r="Q17" i="2"/>
  <c r="Q16" i="2"/>
  <c r="Q15" i="2"/>
  <c r="Q14" i="2"/>
  <c r="Q13" i="2"/>
  <c r="Q12" i="2"/>
  <c r="Q11" i="2"/>
  <c r="Q10" i="2"/>
  <c r="Q9" i="2"/>
  <c r="Q8" i="2"/>
  <c r="Q7" i="2"/>
  <c r="Q15" i="28"/>
  <c r="Q14" i="28"/>
  <c r="Q13" i="28"/>
  <c r="Q17" i="28" s="1"/>
  <c r="R17" i="28"/>
  <c r="R15" i="28"/>
  <c r="W15" i="28" s="1"/>
  <c r="R14" i="28"/>
  <c r="R13" i="28"/>
  <c r="R12" i="28"/>
  <c r="W12" i="28" s="1"/>
  <c r="E28" i="28"/>
  <c r="W27" i="28"/>
  <c r="W26" i="28"/>
  <c r="W25" i="28"/>
  <c r="Q28" i="28"/>
  <c r="Q27" i="28"/>
  <c r="Q26" i="28"/>
  <c r="Q25" i="28"/>
  <c r="E25" i="28"/>
  <c r="Q12" i="28"/>
  <c r="W14" i="28" l="1"/>
  <c r="W13" i="28"/>
  <c r="Q30" i="28"/>
  <c r="V20" i="28" l="1"/>
  <c r="V18" i="28"/>
  <c r="R25" i="28" l="1"/>
  <c r="R28" i="28"/>
  <c r="R26" i="28"/>
  <c r="R27" i="28"/>
  <c r="T28" i="28" s="1"/>
  <c r="S28" i="28"/>
  <c r="S26" i="28"/>
  <c r="T15" i="28"/>
  <c r="S15" i="28"/>
  <c r="T13" i="28"/>
  <c r="S13" i="28"/>
  <c r="V15" i="28" l="1"/>
  <c r="V13" i="28"/>
  <c r="W28" i="28"/>
  <c r="R30" i="28"/>
  <c r="T26" i="28"/>
  <c r="V26" i="28" s="1"/>
  <c r="V28" i="28"/>
  <c r="P27" i="5"/>
  <c r="O27" i="5"/>
  <c r="N27" i="5"/>
  <c r="M27" i="5"/>
  <c r="K27" i="5"/>
  <c r="J27" i="5"/>
  <c r="I27" i="5" s="1"/>
  <c r="G27" i="5"/>
  <c r="F27" i="5"/>
  <c r="E27" i="5"/>
  <c r="P26" i="5"/>
  <c r="O26" i="5"/>
  <c r="N26" i="5"/>
  <c r="M26" i="5"/>
  <c r="K26" i="5"/>
  <c r="I26" i="5" s="1"/>
  <c r="J26" i="5"/>
  <c r="G26" i="5"/>
  <c r="E26" i="5" s="1"/>
  <c r="F26" i="5"/>
  <c r="P25" i="5"/>
  <c r="O25" i="5"/>
  <c r="N25" i="5"/>
  <c r="M25" i="5"/>
  <c r="K25" i="5"/>
  <c r="J25" i="5"/>
  <c r="I25" i="5" s="1"/>
  <c r="G25" i="5"/>
  <c r="F25" i="5"/>
  <c r="E25" i="5"/>
  <c r="M48" i="5"/>
  <c r="K48" i="5"/>
  <c r="J48" i="5"/>
  <c r="I48" i="5" s="1"/>
  <c r="G48" i="5"/>
  <c r="F48" i="5"/>
  <c r="E48" i="5" s="1"/>
  <c r="M47" i="5"/>
  <c r="K47" i="5"/>
  <c r="J47" i="5"/>
  <c r="I47" i="5"/>
  <c r="G47" i="5"/>
  <c r="F47" i="5"/>
  <c r="E47" i="5"/>
  <c r="K46" i="5"/>
  <c r="J46" i="5"/>
  <c r="I46" i="5" s="1"/>
  <c r="G46" i="5"/>
  <c r="F46" i="5"/>
  <c r="E46" i="5" s="1"/>
  <c r="P23" i="5" l="1"/>
  <c r="O23" i="5"/>
  <c r="N23" i="5"/>
  <c r="M23" i="5"/>
  <c r="F17" i="5"/>
  <c r="F16" i="5"/>
  <c r="F14" i="5"/>
  <c r="F13" i="5"/>
  <c r="F12" i="5"/>
  <c r="B12" i="28"/>
  <c r="B13" i="28"/>
  <c r="B14" i="28"/>
  <c r="B15" i="28"/>
  <c r="G108" i="28"/>
  <c r="G107" i="28"/>
  <c r="G95" i="28"/>
  <c r="G94" i="28"/>
  <c r="G82" i="28"/>
  <c r="G81" i="28"/>
  <c r="G69" i="28"/>
  <c r="G68" i="28"/>
  <c r="G56" i="28"/>
  <c r="G55" i="28"/>
  <c r="G43" i="28"/>
  <c r="G42" i="28"/>
  <c r="E30" i="28" l="1"/>
  <c r="E29" i="28"/>
  <c r="F17" i="28" l="1"/>
  <c r="F16" i="28"/>
  <c r="C13" i="29" l="1"/>
  <c r="E13" i="29"/>
  <c r="E23" i="5" l="1"/>
  <c r="E24" i="5"/>
  <c r="I23" i="5"/>
  <c r="H51" i="5"/>
  <c r="J17" i="5" l="1"/>
  <c r="I17" i="5"/>
  <c r="E17" i="5"/>
  <c r="J16" i="5"/>
  <c r="I16" i="5"/>
  <c r="E16" i="5"/>
  <c r="K50" i="5"/>
  <c r="K49" i="5"/>
  <c r="K44" i="5"/>
  <c r="K43" i="5"/>
  <c r="K38" i="5"/>
  <c r="K32" i="5"/>
  <c r="K31" i="5"/>
  <c r="K30" i="5"/>
  <c r="K29" i="5"/>
  <c r="K23" i="5"/>
  <c r="K20" i="5"/>
  <c r="K19" i="5"/>
  <c r="K15" i="5"/>
  <c r="G19" i="5"/>
  <c r="G20" i="5"/>
  <c r="G23" i="5"/>
  <c r="G29" i="5"/>
  <c r="G30" i="5"/>
  <c r="G31" i="5"/>
  <c r="G32" i="5"/>
  <c r="G38" i="5"/>
  <c r="G43" i="5"/>
  <c r="G44" i="5"/>
  <c r="G49" i="5"/>
  <c r="G50" i="5"/>
  <c r="D20" i="21"/>
  <c r="E20" i="21"/>
  <c r="F20" i="21"/>
  <c r="G20" i="21"/>
  <c r="G51" i="5" l="1"/>
  <c r="K51" i="5"/>
  <c r="P49" i="5"/>
  <c r="O49" i="5"/>
  <c r="N49" i="5"/>
  <c r="M49" i="5"/>
  <c r="J49" i="5"/>
  <c r="F49" i="5"/>
  <c r="P43" i="5"/>
  <c r="O43" i="5"/>
  <c r="N43" i="5"/>
  <c r="M43" i="5"/>
  <c r="J43" i="5"/>
  <c r="J41" i="5"/>
  <c r="F41" i="5"/>
  <c r="J40" i="5"/>
  <c r="F40" i="5"/>
  <c r="P31" i="5"/>
  <c r="O31" i="5"/>
  <c r="N31" i="5"/>
  <c r="M31" i="5"/>
  <c r="J31" i="5"/>
  <c r="F31" i="5"/>
  <c r="P19" i="5"/>
  <c r="O19" i="5"/>
  <c r="N19" i="5"/>
  <c r="M19" i="5"/>
  <c r="J19" i="5"/>
  <c r="F19" i="5"/>
  <c r="J24" i="5"/>
  <c r="I24" i="5" s="1"/>
  <c r="I38" i="5"/>
  <c r="J34" i="5"/>
  <c r="F34" i="5"/>
  <c r="J35" i="5"/>
  <c r="F35" i="5"/>
  <c r="E49" i="5" l="1"/>
  <c r="I49" i="5"/>
  <c r="E19" i="5"/>
  <c r="E31" i="5"/>
  <c r="I41" i="5"/>
  <c r="I43" i="5"/>
  <c r="E43" i="5"/>
  <c r="I40" i="5"/>
  <c r="I31" i="5"/>
  <c r="I19" i="5"/>
  <c r="I35" i="5"/>
  <c r="I34" i="5"/>
  <c r="E34" i="5"/>
  <c r="P44" i="5"/>
  <c r="O44" i="5"/>
  <c r="N44" i="5"/>
  <c r="M44" i="5"/>
  <c r="J44" i="5"/>
  <c r="F44" i="5"/>
  <c r="P30" i="5"/>
  <c r="O30" i="5"/>
  <c r="N30" i="5"/>
  <c r="M30" i="5"/>
  <c r="J30" i="5"/>
  <c r="F30" i="5"/>
  <c r="P29" i="5"/>
  <c r="O29" i="5"/>
  <c r="N29" i="5"/>
  <c r="M29" i="5"/>
  <c r="J29" i="5"/>
  <c r="F29" i="5"/>
  <c r="J23" i="5"/>
  <c r="F23" i="5"/>
  <c r="J22" i="5"/>
  <c r="F22" i="5"/>
  <c r="J18" i="5"/>
  <c r="J20" i="5"/>
  <c r="M20" i="5"/>
  <c r="N20" i="5"/>
  <c r="O20" i="5"/>
  <c r="P20" i="5"/>
  <c r="F18" i="5"/>
  <c r="F20" i="5"/>
  <c r="I22" i="5" l="1"/>
  <c r="I29" i="5"/>
  <c r="E44" i="5"/>
  <c r="I44" i="5"/>
  <c r="I20" i="5"/>
  <c r="E20" i="5"/>
  <c r="I30" i="5"/>
  <c r="E22" i="5"/>
  <c r="E30" i="5"/>
  <c r="I18" i="5"/>
  <c r="E18" i="5"/>
  <c r="E29" i="5"/>
  <c r="D14" i="34"/>
  <c r="C14" i="34"/>
  <c r="D31" i="34" l="1"/>
  <c r="O24" i="2" l="1"/>
  <c r="P10" i="34" s="1"/>
  <c r="M24" i="2"/>
  <c r="K24" i="2"/>
  <c r="L10" i="34" s="1"/>
  <c r="I24" i="2"/>
  <c r="G24" i="2"/>
  <c r="E24" i="2"/>
  <c r="C24" i="2"/>
  <c r="B24" i="2"/>
  <c r="Q24" i="2" l="1"/>
  <c r="I56" i="5"/>
  <c r="P24" i="2"/>
  <c r="N10" i="34"/>
  <c r="N24" i="2"/>
  <c r="L24" i="2"/>
  <c r="J10" i="34"/>
  <c r="J24" i="2"/>
  <c r="H24" i="2"/>
  <c r="H10" i="34"/>
  <c r="F10" i="34"/>
  <c r="D24" i="2"/>
  <c r="R24" i="2"/>
  <c r="C10" i="34"/>
  <c r="R10" i="34" s="1"/>
  <c r="S10" i="34" s="1"/>
  <c r="B26" i="2"/>
  <c r="F24" i="2"/>
  <c r="J56" i="5"/>
  <c r="C26" i="2"/>
  <c r="D10" i="34"/>
  <c r="A2" i="34"/>
  <c r="F108" i="28"/>
  <c r="E108" i="28"/>
  <c r="C108" i="28"/>
  <c r="D108" i="28" s="1"/>
  <c r="F107" i="28"/>
  <c r="E107" i="28"/>
  <c r="C107" i="28"/>
  <c r="D107" i="28" s="1"/>
  <c r="F95" i="28"/>
  <c r="E95" i="28"/>
  <c r="C95" i="28"/>
  <c r="D95" i="28" s="1"/>
  <c r="F94" i="28"/>
  <c r="E94" i="28"/>
  <c r="C94" i="28"/>
  <c r="D94" i="28" s="1"/>
  <c r="F82" i="28"/>
  <c r="E82" i="28"/>
  <c r="C82" i="28"/>
  <c r="D82" i="28" s="1"/>
  <c r="F81" i="28"/>
  <c r="E81" i="28"/>
  <c r="C81" i="28"/>
  <c r="D81" i="28" s="1"/>
  <c r="F69" i="28"/>
  <c r="E69" i="28"/>
  <c r="C69" i="28"/>
  <c r="D69" i="28" s="1"/>
  <c r="F68" i="28"/>
  <c r="E68" i="28"/>
  <c r="C68" i="28"/>
  <c r="D68" i="28" s="1"/>
  <c r="C8" i="34"/>
  <c r="H23" i="2"/>
  <c r="L23" i="2"/>
  <c r="J23" i="2"/>
  <c r="N23" i="2"/>
  <c r="P23" i="2"/>
  <c r="E25" i="2"/>
  <c r="E26" i="2" s="1"/>
  <c r="C13" i="34" l="1"/>
  <c r="C12" i="34"/>
  <c r="E96" i="28"/>
  <c r="F109" i="28"/>
  <c r="G109" i="28"/>
  <c r="F96" i="28"/>
  <c r="G96" i="28"/>
  <c r="C109" i="28"/>
  <c r="E109" i="28"/>
  <c r="C96" i="28"/>
  <c r="G83" i="28"/>
  <c r="J77" i="28"/>
  <c r="K77" i="28" s="1"/>
  <c r="C83" i="28"/>
  <c r="E83" i="28"/>
  <c r="F83" i="28"/>
  <c r="J64" i="28"/>
  <c r="K64" i="28" s="1"/>
  <c r="E70" i="28"/>
  <c r="G70" i="28"/>
  <c r="C70" i="28"/>
  <c r="F70" i="28"/>
  <c r="G25" i="2"/>
  <c r="G26" i="2" s="1"/>
  <c r="D8" i="34"/>
  <c r="F25" i="2"/>
  <c r="D25" i="2"/>
  <c r="E8" i="34" l="1"/>
  <c r="H25" i="2"/>
  <c r="C23" i="34"/>
  <c r="C17" i="34"/>
  <c r="D13" i="34"/>
  <c r="E13" i="34" s="1"/>
  <c r="D12" i="34"/>
  <c r="E12" i="34" s="1"/>
  <c r="I25" i="2"/>
  <c r="I26" i="2" s="1"/>
  <c r="J25" i="2"/>
  <c r="D17" i="34" l="1"/>
  <c r="E17" i="34" s="1"/>
  <c r="D23" i="34"/>
  <c r="C18" i="34"/>
  <c r="K25" i="2"/>
  <c r="K26" i="2" s="1"/>
  <c r="L25" i="2" l="1"/>
  <c r="C25" i="34"/>
  <c r="C36" i="34"/>
  <c r="E23" i="34"/>
  <c r="F23" i="34"/>
  <c r="G23" i="34" s="1"/>
  <c r="C24" i="34"/>
  <c r="C35" i="34"/>
  <c r="C34" i="34"/>
  <c r="D18" i="34"/>
  <c r="M25" i="2"/>
  <c r="M26" i="2" s="1"/>
  <c r="N25" i="2" l="1"/>
  <c r="D25" i="34"/>
  <c r="E25" i="34" s="1"/>
  <c r="D36" i="34"/>
  <c r="E36" i="34" s="1"/>
  <c r="C37" i="34"/>
  <c r="H23" i="34"/>
  <c r="J23" i="34" s="1"/>
  <c r="D34" i="34"/>
  <c r="E34" i="34" s="1"/>
  <c r="D24" i="34"/>
  <c r="D35" i="34"/>
  <c r="E18" i="34"/>
  <c r="O25" i="2"/>
  <c r="E35" i="34" l="1"/>
  <c r="O26" i="2"/>
  <c r="Q26" i="2" s="1"/>
  <c r="R25" i="2"/>
  <c r="P25" i="2"/>
  <c r="D37" i="34"/>
  <c r="I23" i="34"/>
  <c r="K23" i="34"/>
  <c r="E24" i="34"/>
  <c r="L23" i="34"/>
  <c r="M23" i="34" s="1"/>
  <c r="B64" i="28"/>
  <c r="D64" i="28" s="1"/>
  <c r="B77" i="28"/>
  <c r="D77" i="28" s="1"/>
  <c r="B90" i="28"/>
  <c r="D90" i="28" s="1"/>
  <c r="B103" i="28"/>
  <c r="D103" i="28" s="1"/>
  <c r="B104" i="28"/>
  <c r="B105" i="28"/>
  <c r="B106" i="28"/>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F23" i="2"/>
  <c r="E16" i="29"/>
  <c r="C16" i="29"/>
  <c r="B16" i="29"/>
  <c r="E12" i="29"/>
  <c r="C12" i="29"/>
  <c r="D12" i="29" s="1"/>
  <c r="B12" i="29"/>
  <c r="F13" i="29"/>
  <c r="F14" i="29"/>
  <c r="F15" i="29"/>
  <c r="D13" i="29"/>
  <c r="D14" i="29"/>
  <c r="D15" i="29"/>
  <c r="H104" i="28" l="1"/>
  <c r="I104" i="28" s="1"/>
  <c r="D104" i="28"/>
  <c r="H105" i="28"/>
  <c r="I105" i="28" s="1"/>
  <c r="D105" i="28"/>
  <c r="H106" i="28"/>
  <c r="I106" i="28" s="1"/>
  <c r="D106" i="28"/>
  <c r="E37" i="34"/>
  <c r="F16" i="29"/>
  <c r="D16" i="29"/>
  <c r="F12" i="29"/>
  <c r="N23" i="34"/>
  <c r="O23" i="34"/>
  <c r="B108" i="28"/>
  <c r="H108" i="28" s="1"/>
  <c r="I108" i="28" s="1"/>
  <c r="P8" i="2"/>
  <c r="B91" i="28"/>
  <c r="N12" i="2"/>
  <c r="B82" i="28"/>
  <c r="H82" i="28" s="1"/>
  <c r="I82" i="28" s="1"/>
  <c r="N10" i="2"/>
  <c r="B80" i="28"/>
  <c r="N8" i="2"/>
  <c r="B78" i="28"/>
  <c r="L12" i="2"/>
  <c r="B69" i="28"/>
  <c r="H69" i="28" s="1"/>
  <c r="I69" i="28" s="1"/>
  <c r="L10" i="2"/>
  <c r="B67" i="28"/>
  <c r="L8" i="2"/>
  <c r="B65" i="28"/>
  <c r="B107" i="28"/>
  <c r="H107" i="28" s="1"/>
  <c r="I107" i="28" s="1"/>
  <c r="H103" i="28"/>
  <c r="P12" i="2"/>
  <c r="B95" i="28"/>
  <c r="H95" i="28" s="1"/>
  <c r="I95" i="28" s="1"/>
  <c r="P11" i="2"/>
  <c r="B94" i="28"/>
  <c r="H94" i="28" s="1"/>
  <c r="I94" i="28" s="1"/>
  <c r="P9" i="2"/>
  <c r="B92" i="28"/>
  <c r="H90" i="28"/>
  <c r="N11" i="2"/>
  <c r="B81" i="28"/>
  <c r="H81" i="28" s="1"/>
  <c r="I81" i="28" s="1"/>
  <c r="N9" i="2"/>
  <c r="B79" i="28"/>
  <c r="H77" i="28"/>
  <c r="P10" i="2"/>
  <c r="B93" i="28"/>
  <c r="L11" i="2"/>
  <c r="B68" i="28"/>
  <c r="H68" i="28" s="1"/>
  <c r="I68" i="28" s="1"/>
  <c r="L9" i="2"/>
  <c r="B66" i="28"/>
  <c r="H64" i="28"/>
  <c r="P7" i="2"/>
  <c r="N7" i="2"/>
  <c r="L7" i="2"/>
  <c r="M22" i="2"/>
  <c r="P22" i="2" s="1"/>
  <c r="D23" i="2"/>
  <c r="R23" i="2"/>
  <c r="O22" i="2"/>
  <c r="K22" i="2"/>
  <c r="N22" i="2" s="1"/>
  <c r="I22" i="2"/>
  <c r="L22" i="2" s="1"/>
  <c r="P50" i="5"/>
  <c r="P32" i="5"/>
  <c r="P15" i="5"/>
  <c r="O50" i="5"/>
  <c r="O32" i="5"/>
  <c r="O15" i="5"/>
  <c r="N50" i="5"/>
  <c r="N32" i="5"/>
  <c r="N15" i="5"/>
  <c r="M50" i="5"/>
  <c r="M32" i="5"/>
  <c r="M15" i="5"/>
  <c r="H92" i="28" l="1"/>
  <c r="I92" i="28" s="1"/>
  <c r="D92" i="28"/>
  <c r="H93" i="28"/>
  <c r="I93" i="28" s="1"/>
  <c r="D93" i="28"/>
  <c r="H91" i="28"/>
  <c r="I91" i="28" s="1"/>
  <c r="D91" i="28"/>
  <c r="H78" i="28"/>
  <c r="I78" i="28" s="1"/>
  <c r="D78" i="28"/>
  <c r="H80" i="28"/>
  <c r="I80" i="28" s="1"/>
  <c r="D80" i="28"/>
  <c r="H79" i="28"/>
  <c r="I79" i="28" s="1"/>
  <c r="D79" i="28"/>
  <c r="H65" i="28"/>
  <c r="I65" i="28" s="1"/>
  <c r="D65" i="28"/>
  <c r="H67" i="28"/>
  <c r="I67" i="28" s="1"/>
  <c r="D67" i="28"/>
  <c r="H66" i="28"/>
  <c r="I66" i="28" s="1"/>
  <c r="D66" i="28"/>
  <c r="B83" i="28"/>
  <c r="D83" i="28" s="1"/>
  <c r="P23" i="34"/>
  <c r="Q23" i="34"/>
  <c r="M51" i="5"/>
  <c r="P51" i="5"/>
  <c r="P15" i="34" s="1"/>
  <c r="N51" i="5"/>
  <c r="L15" i="34" s="1"/>
  <c r="O51" i="5"/>
  <c r="N15" i="34" s="1"/>
  <c r="B70" i="28"/>
  <c r="D70" i="28" s="1"/>
  <c r="I77" i="28"/>
  <c r="B96" i="28"/>
  <c r="D96" i="28" s="1"/>
  <c r="B109" i="28"/>
  <c r="D109" i="28" s="1"/>
  <c r="I64" i="28"/>
  <c r="H70" i="28"/>
  <c r="I70" i="28" s="1"/>
  <c r="J9" i="34" s="1"/>
  <c r="I90" i="28"/>
  <c r="I103" i="28"/>
  <c r="H109" i="28"/>
  <c r="I109" i="28" s="1"/>
  <c r="P9" i="34" s="1"/>
  <c r="E14" i="34"/>
  <c r="P26" i="2"/>
  <c r="N26" i="2"/>
  <c r="H83" i="28" l="1"/>
  <c r="I83" i="28" s="1"/>
  <c r="L9" i="34" s="1"/>
  <c r="J15" i="34"/>
  <c r="H96" i="28"/>
  <c r="I96" i="28" s="1"/>
  <c r="N9" i="34" s="1"/>
  <c r="Q9" i="34" s="1"/>
  <c r="O9" i="34"/>
  <c r="M9" i="34"/>
  <c r="S23" i="34"/>
  <c r="R23" i="34"/>
  <c r="Q15" i="34"/>
  <c r="O15" i="34"/>
  <c r="O10" i="34"/>
  <c r="Q10" i="34"/>
  <c r="N11" i="34"/>
  <c r="P11" i="34"/>
  <c r="L26" i="2"/>
  <c r="M15" i="34" l="1"/>
  <c r="Q11" i="34"/>
  <c r="M10" i="34"/>
  <c r="L11" i="34"/>
  <c r="O11" i="34" l="1"/>
  <c r="D10" i="29" l="1"/>
  <c r="F10" i="29"/>
  <c r="D11" i="29"/>
  <c r="F11" i="29"/>
  <c r="F9" i="29" l="1"/>
  <c r="D9" i="29"/>
  <c r="A2" i="29" l="1"/>
  <c r="A2" i="28" l="1"/>
  <c r="F56" i="28"/>
  <c r="E56" i="28"/>
  <c r="C56" i="28"/>
  <c r="D56" i="28" s="1"/>
  <c r="F55" i="28"/>
  <c r="E55" i="28"/>
  <c r="C55" i="28"/>
  <c r="D55" i="28" s="1"/>
  <c r="F43" i="28"/>
  <c r="E43" i="28"/>
  <c r="C43" i="28"/>
  <c r="D43" i="28" s="1"/>
  <c r="F42" i="28"/>
  <c r="E42" i="28"/>
  <c r="C42" i="28"/>
  <c r="D42" i="28" s="1"/>
  <c r="G30" i="28"/>
  <c r="F30" i="28"/>
  <c r="C30" i="28"/>
  <c r="D30" i="28" s="1"/>
  <c r="G29" i="28"/>
  <c r="F29" i="28"/>
  <c r="C29" i="28"/>
  <c r="D29" i="28" s="1"/>
  <c r="G17" i="28"/>
  <c r="E17" i="28"/>
  <c r="C17" i="28"/>
  <c r="D17" i="28" s="1"/>
  <c r="G16" i="28"/>
  <c r="D16" i="28"/>
  <c r="D15" i="28"/>
  <c r="D14" i="28"/>
  <c r="J12" i="28"/>
  <c r="K12" i="28" s="1"/>
  <c r="D12" i="28"/>
  <c r="F44" i="28" l="1"/>
  <c r="G57" i="28"/>
  <c r="F18" i="28"/>
  <c r="C18" i="28"/>
  <c r="G31" i="28"/>
  <c r="C57" i="28"/>
  <c r="D13" i="28"/>
  <c r="C31" i="28"/>
  <c r="J38" i="28"/>
  <c r="K38" i="28" s="1"/>
  <c r="J51" i="28"/>
  <c r="K51" i="28" s="1"/>
  <c r="E18" i="28"/>
  <c r="J25" i="28"/>
  <c r="K25" i="28" s="1"/>
  <c r="C44" i="28"/>
  <c r="G44" i="28"/>
  <c r="F57" i="28"/>
  <c r="G18" i="28"/>
  <c r="E31" i="28"/>
  <c r="E44" i="28"/>
  <c r="E57" i="28"/>
  <c r="F31" i="28"/>
  <c r="F22" i="21" l="1"/>
  <c r="F21" i="21"/>
  <c r="D22" i="21"/>
  <c r="D21" i="21"/>
  <c r="J50" i="5"/>
  <c r="F50" i="5"/>
  <c r="H34" i="2"/>
  <c r="F34" i="2"/>
  <c r="D34" i="2"/>
  <c r="H32" i="2"/>
  <c r="H31" i="2"/>
  <c r="F32" i="2"/>
  <c r="F31" i="2"/>
  <c r="D32" i="2"/>
  <c r="D31" i="2"/>
  <c r="G22" i="21"/>
  <c r="E22" i="21"/>
  <c r="G21" i="21"/>
  <c r="E21" i="21"/>
  <c r="A2" i="21"/>
  <c r="J32" i="5"/>
  <c r="J15" i="5"/>
  <c r="J14" i="5"/>
  <c r="J13" i="5"/>
  <c r="J12" i="5"/>
  <c r="F32" i="5"/>
  <c r="F15" i="5"/>
  <c r="L15" i="5"/>
  <c r="A2" i="5"/>
  <c r="G11" i="2"/>
  <c r="J11" i="2" s="1"/>
  <c r="G12" i="2"/>
  <c r="J12" i="2" s="1"/>
  <c r="G13" i="2"/>
  <c r="J13" i="2" s="1"/>
  <c r="G14" i="2"/>
  <c r="J14" i="2" s="1"/>
  <c r="G15" i="2"/>
  <c r="J15" i="2" s="1"/>
  <c r="G16" i="2"/>
  <c r="J16" i="2" s="1"/>
  <c r="G17" i="2"/>
  <c r="J17" i="2" s="1"/>
  <c r="G18" i="2"/>
  <c r="J18" i="2" s="1"/>
  <c r="G19" i="2"/>
  <c r="J19" i="2" s="1"/>
  <c r="G20" i="2"/>
  <c r="J20" i="2" s="1"/>
  <c r="E11" i="2"/>
  <c r="H11" i="2" s="1"/>
  <c r="E13" i="2"/>
  <c r="H13" i="2" s="1"/>
  <c r="E15" i="2"/>
  <c r="H15" i="2" s="1"/>
  <c r="E17" i="2"/>
  <c r="H17" i="2" s="1"/>
  <c r="E19" i="2"/>
  <c r="H19" i="2" s="1"/>
  <c r="E12" i="2"/>
  <c r="H12" i="2" s="1"/>
  <c r="E14" i="2"/>
  <c r="H14" i="2" s="1"/>
  <c r="E16" i="2"/>
  <c r="H16" i="2" s="1"/>
  <c r="E18" i="2"/>
  <c r="H18" i="2" s="1"/>
  <c r="E20" i="2"/>
  <c r="H20" i="2" s="1"/>
  <c r="C11" i="2"/>
  <c r="F11" i="2" s="1"/>
  <c r="C12" i="2"/>
  <c r="F12" i="2" s="1"/>
  <c r="C13" i="2"/>
  <c r="F13" i="2" s="1"/>
  <c r="C14" i="2"/>
  <c r="F14" i="2" s="1"/>
  <c r="C16" i="2"/>
  <c r="F16" i="2" s="1"/>
  <c r="C18" i="2"/>
  <c r="F18" i="2" s="1"/>
  <c r="C20" i="2"/>
  <c r="F20" i="2" s="1"/>
  <c r="C15" i="2"/>
  <c r="F15" i="2" s="1"/>
  <c r="C17" i="2"/>
  <c r="F17" i="2" s="1"/>
  <c r="C19" i="2"/>
  <c r="F19" i="2" s="1"/>
  <c r="R9" i="2"/>
  <c r="B11" i="2"/>
  <c r="B12" i="2"/>
  <c r="B13" i="2"/>
  <c r="B14" i="2"/>
  <c r="B15" i="2"/>
  <c r="B16" i="2"/>
  <c r="B17" i="2"/>
  <c r="B18" i="2"/>
  <c r="B19" i="2"/>
  <c r="B20"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3" i="21" l="1"/>
  <c r="E23" i="21"/>
  <c r="G23" i="21"/>
  <c r="F51" i="5"/>
  <c r="F16" i="34" s="1"/>
  <c r="L51" i="5"/>
  <c r="J51" i="5"/>
  <c r="H16" i="34" s="1"/>
  <c r="J16" i="34" s="1"/>
  <c r="E12"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10" i="2"/>
  <c r="B52" i="28"/>
  <c r="J8" i="2"/>
  <c r="B28" i="28"/>
  <c r="F10" i="2"/>
  <c r="B39" i="28"/>
  <c r="H8" i="2"/>
  <c r="B26" i="28"/>
  <c r="F8" i="2"/>
  <c r="B27" i="28"/>
  <c r="F9" i="2"/>
  <c r="B54" i="28"/>
  <c r="J10" i="2"/>
  <c r="B53" i="28"/>
  <c r="J9" i="2"/>
  <c r="B40" i="28"/>
  <c r="H9" i="2"/>
  <c r="H14" i="28"/>
  <c r="I14" i="28" s="1"/>
  <c r="D9" i="2"/>
  <c r="H13" i="28"/>
  <c r="I13" i="28" s="1"/>
  <c r="H12" i="28"/>
  <c r="I12" i="28" s="1"/>
  <c r="D7" i="2"/>
  <c r="E22" i="2"/>
  <c r="H22" i="2" s="1"/>
  <c r="G22" i="2"/>
  <c r="J22" i="2" s="1"/>
  <c r="H15" i="28"/>
  <c r="I15" i="28" s="1"/>
  <c r="B21" i="2"/>
  <c r="B22" i="2"/>
  <c r="G21" i="2"/>
  <c r="J21" i="2" s="1"/>
  <c r="E21" i="2"/>
  <c r="H21" i="2" s="1"/>
  <c r="C22" i="2"/>
  <c r="F22" i="2" s="1"/>
  <c r="C21" i="2"/>
  <c r="F21" i="2" s="1"/>
  <c r="H26" i="9"/>
  <c r="H110" i="9"/>
  <c r="H89" i="9"/>
  <c r="D89" i="9"/>
  <c r="H53" i="9"/>
  <c r="H68" i="9" s="1"/>
  <c r="H38" i="9"/>
  <c r="H47" i="9" s="1"/>
  <c r="F23" i="21"/>
  <c r="I14" i="5"/>
  <c r="I15" i="5"/>
  <c r="B51" i="28"/>
  <c r="C33" i="2"/>
  <c r="F33" i="2" s="1"/>
  <c r="B38" i="28"/>
  <c r="B25" i="28"/>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D33" i="2" s="1"/>
  <c r="E14" i="5"/>
  <c r="I13" i="5"/>
  <c r="I32" i="5"/>
  <c r="E50" i="5"/>
  <c r="E15" i="5"/>
  <c r="E13" i="5"/>
  <c r="E32" i="5"/>
  <c r="I12" i="5"/>
  <c r="I50" i="5"/>
  <c r="I16" i="34" l="1"/>
  <c r="L16" i="34"/>
  <c r="J14" i="34"/>
  <c r="L6" i="5"/>
  <c r="P8" i="34" s="1"/>
  <c r="R8" i="34" s="1"/>
  <c r="S8" i="34" s="1"/>
  <c r="H52" i="28"/>
  <c r="I52" i="28" s="1"/>
  <c r="D52" i="28"/>
  <c r="H51" i="28"/>
  <c r="I51" i="28" s="1"/>
  <c r="D51" i="28"/>
  <c r="H53" i="28"/>
  <c r="I53" i="28" s="1"/>
  <c r="D53" i="28"/>
  <c r="H54" i="28"/>
  <c r="I54" i="28" s="1"/>
  <c r="D54" i="28"/>
  <c r="H38" i="28"/>
  <c r="I38" i="28" s="1"/>
  <c r="D38" i="28"/>
  <c r="H41" i="28"/>
  <c r="I41" i="28" s="1"/>
  <c r="D41" i="28"/>
  <c r="H40" i="28"/>
  <c r="I40" i="28" s="1"/>
  <c r="D40" i="28"/>
  <c r="H39" i="28"/>
  <c r="I39" i="28" s="1"/>
  <c r="D39" i="28"/>
  <c r="H27" i="28"/>
  <c r="I27" i="28" s="1"/>
  <c r="D27" i="28"/>
  <c r="H25" i="28"/>
  <c r="I25" i="28" s="1"/>
  <c r="D25" i="28"/>
  <c r="H28" i="28"/>
  <c r="I28" i="28" s="1"/>
  <c r="D28" i="28"/>
  <c r="H26" i="28"/>
  <c r="I26" i="28" s="1"/>
  <c r="D26" i="28"/>
  <c r="H33" i="2"/>
  <c r="H8" i="34"/>
  <c r="E51" i="5"/>
  <c r="F15" i="34" s="1"/>
  <c r="I51" i="5"/>
  <c r="H15" i="34" s="1"/>
  <c r="H14" i="34" s="1"/>
  <c r="D22" i="2"/>
  <c r="R22" i="2"/>
  <c r="D21" i="2"/>
  <c r="R21" i="2"/>
  <c r="R26" i="2"/>
  <c r="B18" i="28"/>
  <c r="D18" i="28" s="1"/>
  <c r="B31" i="28"/>
  <c r="B44" i="28"/>
  <c r="D44" i="28" s="1"/>
  <c r="H44" i="28"/>
  <c r="I44" i="28" s="1"/>
  <c r="F9" i="34" s="1"/>
  <c r="H18" i="28"/>
  <c r="I18" i="28" s="1"/>
  <c r="C9" i="34" s="1"/>
  <c r="R9" i="34" s="1"/>
  <c r="S9" i="34" s="1"/>
  <c r="H31" i="28"/>
  <c r="I31" i="28" s="1"/>
  <c r="D9" i="34" s="1"/>
  <c r="G9" i="34" s="1"/>
  <c r="B57" i="28"/>
  <c r="D57" i="28" s="1"/>
  <c r="H57" i="28" l="1"/>
  <c r="I57" i="28" s="1"/>
  <c r="H9" i="34" s="1"/>
  <c r="K9" i="34" s="1"/>
  <c r="N8" i="34"/>
  <c r="L8" i="34"/>
  <c r="J8" i="34"/>
  <c r="J12" i="34" s="1"/>
  <c r="N16" i="34"/>
  <c r="L14" i="34"/>
  <c r="D31" i="28"/>
  <c r="I9" i="34"/>
  <c r="R15" i="34"/>
  <c r="F14" i="34"/>
  <c r="G14" i="34" s="1"/>
  <c r="L12" i="34"/>
  <c r="L13" i="34"/>
  <c r="O8" i="34"/>
  <c r="P13" i="34"/>
  <c r="R13" i="34" s="1"/>
  <c r="S13" i="34" s="1"/>
  <c r="P12" i="34"/>
  <c r="R12" i="34" s="1"/>
  <c r="S12" i="34" s="1"/>
  <c r="N13" i="34"/>
  <c r="Q8" i="34"/>
  <c r="N12" i="34"/>
  <c r="H13" i="34"/>
  <c r="H12" i="34"/>
  <c r="F13" i="34"/>
  <c r="I8" i="34"/>
  <c r="F12" i="34"/>
  <c r="K15" i="34"/>
  <c r="I15" i="34"/>
  <c r="E9" i="34"/>
  <c r="D26" i="2"/>
  <c r="G10" i="34"/>
  <c r="H26" i="2"/>
  <c r="K10" i="34"/>
  <c r="J11" i="34"/>
  <c r="J26" i="2"/>
  <c r="F26" i="2"/>
  <c r="K8" i="34" l="1"/>
  <c r="J13" i="34"/>
  <c r="M13" i="34" s="1"/>
  <c r="M8" i="34"/>
  <c r="P16" i="34"/>
  <c r="P14" i="34" s="1"/>
  <c r="R14" i="34" s="1"/>
  <c r="S14" i="34" s="1"/>
  <c r="N14" i="34"/>
  <c r="O13" i="34"/>
  <c r="Q13" i="34"/>
  <c r="M12" i="34"/>
  <c r="K12" i="34"/>
  <c r="Q12" i="34"/>
  <c r="O12" i="34"/>
  <c r="I13" i="34"/>
  <c r="G13" i="34"/>
  <c r="I12" i="34"/>
  <c r="G12" i="34"/>
  <c r="K13" i="34"/>
  <c r="F17" i="34"/>
  <c r="G17" i="34" s="1"/>
  <c r="I14" i="34"/>
  <c r="M11" i="34"/>
  <c r="H11" i="34"/>
  <c r="D11" i="34"/>
  <c r="E10" i="34"/>
  <c r="I10" i="34"/>
  <c r="F11" i="34"/>
  <c r="G11" i="34" l="1"/>
  <c r="R11" i="34"/>
  <c r="F18" i="34"/>
  <c r="H17" i="34"/>
  <c r="H18" i="34" s="1"/>
  <c r="K14" i="34"/>
  <c r="K11" i="34"/>
  <c r="I11" i="34"/>
  <c r="H24" i="34" l="1"/>
  <c r="H35" i="34"/>
  <c r="K35" i="34" s="1"/>
  <c r="F24" i="34"/>
  <c r="F35" i="34"/>
  <c r="I18" i="34"/>
  <c r="F36" i="34"/>
  <c r="G36" i="34" s="1"/>
  <c r="F25" i="34"/>
  <c r="H36" i="34"/>
  <c r="H25" i="34"/>
  <c r="H34" i="34"/>
  <c r="K34" i="34" s="1"/>
  <c r="G18" i="34"/>
  <c r="F34" i="34"/>
  <c r="J17" i="34"/>
  <c r="K17" i="34" s="1"/>
  <c r="M14" i="34"/>
  <c r="I17" i="34"/>
  <c r="I35" i="34" l="1"/>
  <c r="G35" i="34"/>
  <c r="I34" i="34"/>
  <c r="G34" i="34"/>
  <c r="I24" i="34"/>
  <c r="G24" i="34"/>
  <c r="K36" i="34"/>
  <c r="H37" i="34"/>
  <c r="I36" i="34"/>
  <c r="F37" i="34"/>
  <c r="I25" i="34"/>
  <c r="G25" i="34"/>
  <c r="L17" i="34"/>
  <c r="M17" i="34" s="1"/>
  <c r="J18" i="34"/>
  <c r="O14" i="34"/>
  <c r="J25" i="34" l="1"/>
  <c r="J36" i="34"/>
  <c r="K18" i="34"/>
  <c r="J24" i="34"/>
  <c r="K24" i="34" s="1"/>
  <c r="J35" i="34"/>
  <c r="I37" i="34"/>
  <c r="G37" i="34"/>
  <c r="J34" i="34"/>
  <c r="N17" i="34"/>
  <c r="O17" i="34" s="1"/>
  <c r="L18" i="34"/>
  <c r="Q14" i="34"/>
  <c r="J37" i="34" l="1"/>
  <c r="K25" i="34"/>
  <c r="L35" i="34"/>
  <c r="L24" i="34"/>
  <c r="L34" i="34"/>
  <c r="M18" i="34"/>
  <c r="L36" i="34"/>
  <c r="M36" i="34" s="1"/>
  <c r="L25" i="34"/>
  <c r="M25" i="34" s="1"/>
  <c r="P17" i="34"/>
  <c r="Q17" i="34" s="1"/>
  <c r="N18" i="34"/>
  <c r="M35" i="34" l="1"/>
  <c r="M34" i="34"/>
  <c r="K37" i="34"/>
  <c r="N25" i="34"/>
  <c r="N36" i="34"/>
  <c r="O36" i="34" s="1"/>
  <c r="N24" i="34"/>
  <c r="N35" i="34"/>
  <c r="M24" i="34"/>
  <c r="N34" i="34"/>
  <c r="P18" i="34"/>
  <c r="R17" i="34"/>
  <c r="S17" i="34" s="1"/>
  <c r="L37" i="34"/>
  <c r="O18" i="34"/>
  <c r="O35" i="34" l="1"/>
  <c r="O34" i="34"/>
  <c r="N37" i="34"/>
  <c r="P25" i="34"/>
  <c r="P36" i="34"/>
  <c r="M37" i="34"/>
  <c r="O25" i="34"/>
  <c r="O24" i="34"/>
  <c r="P24" i="34"/>
  <c r="Q24" i="34" s="1"/>
  <c r="P35" i="34"/>
  <c r="P34" i="34"/>
  <c r="R18" i="34"/>
  <c r="S18" i="34" s="1"/>
  <c r="Q18" i="34"/>
  <c r="R36" i="34" l="1"/>
  <c r="S36" i="34"/>
  <c r="Q36" i="34"/>
  <c r="R35" i="34"/>
  <c r="S35" i="34"/>
  <c r="Q35" i="34"/>
  <c r="S34" i="34"/>
  <c r="R34" i="34"/>
  <c r="Q34" i="34"/>
  <c r="P37" i="34"/>
  <c r="Q37" i="34" s="1"/>
  <c r="R25" i="34"/>
  <c r="S25" i="34"/>
  <c r="Q25" i="34"/>
  <c r="O37" i="34"/>
  <c r="S24" i="34"/>
  <c r="R24" i="34"/>
  <c r="S37" i="34" l="1"/>
  <c r="R37" i="34"/>
</calcChain>
</file>

<file path=xl/sharedStrings.xml><?xml version="1.0" encoding="utf-8"?>
<sst xmlns="http://schemas.openxmlformats.org/spreadsheetml/2006/main" count="797" uniqueCount="410">
  <si>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</si>
  <si>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</si>
  <si>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</si>
  <si>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</si>
  <si>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</si>
  <si>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</si>
  <si>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</si>
  <si>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</si>
  <si>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</si>
  <si>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</si>
  <si>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</si>
  <si>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</si>
  <si>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t>
    </r>
    <r>
      <rPr>
        <b/>
        <sz val="11"/>
        <color rgb="FFFF0000"/>
        <rFont val="Arial"/>
        <family val="2"/>
      </rPr>
      <t xml:space="preserve"> (after discounts and waivers) </t>
    </r>
    <r>
      <rPr>
        <sz val="1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</si>
  <si>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</si>
  <si>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</si>
  <si>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</si>
  <si>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</si>
  <si>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</si>
  <si>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</si>
  <si>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</si>
  <si>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</si>
  <si>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</si>
  <si>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</si>
  <si>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</si>
  <si>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</si>
  <si>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</si>
  <si>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</si>
  <si>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r>
      <t xml:space="preserve">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t>
    </r>
    <r>
      <rPr>
        <b/>
        <sz val="12"/>
        <color rgb="FFFF0000"/>
        <rFont val="Arial"/>
        <family val="2"/>
      </rPr>
      <t>Requests for need-based financial aid appropriated in program 108 should be included here.</t>
    </r>
    <r>
      <rPr>
        <sz val="12"/>
        <color theme="1"/>
        <rFont val="Arial"/>
        <family val="2"/>
      </rPr>
      <t xml:space="preserv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</si>
  <si>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</si>
  <si>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</si>
  <si>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</si>
  <si>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</si>
  <si>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</si>
  <si>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</si>
  <si>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</si>
  <si>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</si>
  <si>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</si>
  <si>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</si>
  <si>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</si>
  <si>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</si>
  <si>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</si>
  <si>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</si>
  <si>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</si>
  <si>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</si>
  <si>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</si>
  <si>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</si>
  <si>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</si>
  <si>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</si>
  <si>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</si>
  <si>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</si>
  <si>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</si>
  <si>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</si>
  <si>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</si>
  <si>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</si>
  <si>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</si>
  <si>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</si>
  <si>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</si>
  <si>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</si>
  <si>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</si>
  <si>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</si>
  <si>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</si>
  <si>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</si>
  <si>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</si>
  <si>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</si>
  <si>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Name:   Norfolk State University</t>
  </si>
  <si>
    <t>Institution UNITID:</t>
  </si>
  <si>
    <t>3765</t>
  </si>
  <si>
    <t>Individual responsible for plan</t>
  </si>
  <si>
    <t>Name(s) &amp; Title(s):</t>
  </si>
  <si>
    <t>Dr. DoVeanna Fulton
Dr. Gerald E. Hunter</t>
  </si>
  <si>
    <t>Email address(es):</t>
  </si>
  <si>
    <t>dfulton@nsu.edu
gehunter@nsu.edu</t>
  </si>
  <si>
    <t>Telephone number(s):</t>
  </si>
  <si>
    <t>757-823-8408
757-823-8011</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</si>
  <si>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</si>
  <si>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</si>
  <si>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</si>
  <si>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</si>
  <si>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</si>
  <si>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</si>
  <si>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</si>
  <si>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</si>
  <si>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</si>
  <si>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</si>
  <si>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</si>
  <si>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</si>
  <si>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</si>
  <si>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</si>
  <si>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</si>
  <si>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</si>
  <si>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</si>
  <si>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</si>
  <si>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</si>
  <si>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</si>
  <si>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</si>
  <si>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</si>
  <si>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</si>
  <si>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</si>
  <si>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</si>
  <si>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</si>
  <si>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</si>
  <si>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</si>
  <si>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</si>
  <si>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</si>
  <si>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</si>
  <si>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</si>
  <si>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</si>
  <si>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</si>
  <si>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</si>
  <si>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</si>
  <si>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</si>
  <si>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</si>
  <si>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</si>
  <si>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</si>
  <si>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</si>
  <si>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</si>
  <si>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</si>
  <si>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</si>
  <si>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</si>
  <si>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</si>
  <si>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</si>
  <si>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</si>
  <si>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</si>
  <si>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</si>
  <si>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</si>
  <si>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</si>
  <si>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</si>
  <si>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</si>
  <si>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</si>
  <si>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</si>
  <si>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</si>
  <si>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</si>
  <si>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</si>
  <si>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</si>
  <si>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</si>
  <si>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</si>
  <si>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</si>
  <si>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</si>
  <si>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</si>
  <si>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</si>
  <si>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</si>
  <si>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</si>
  <si>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</si>
  <si>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</si>
  <si>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</si>
  <si>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</si>
  <si>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</si>
  <si>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</si>
  <si>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</si>
  <si>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</si>
  <si>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</si>
  <si>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</si>
  <si>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</si>
  <si>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IS</t>
  </si>
  <si>
    <t>OoS</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</si>
  <si>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</si>
  <si>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</si>
  <si>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</si>
  <si>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</si>
  <si>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</si>
  <si>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</si>
  <si>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</si>
  <si>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</si>
  <si>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</si>
  <si>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</si>
  <si>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</si>
  <si>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</si>
  <si>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</si>
  <si>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</si>
  <si>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</si>
  <si>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</si>
  <si>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</si>
  <si>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</si>
  <si>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</si>
  <si>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</si>
  <si>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</si>
  <si>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</si>
  <si>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</si>
  <si>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</si>
  <si>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</si>
  <si>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</si>
  <si>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</si>
  <si>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</si>
  <si>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</si>
  <si>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</si>
  <si>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</si>
  <si>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</si>
  <si>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</si>
  <si>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</si>
  <si>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</si>
  <si>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2% salary increase; here split with GF.</t>
  </si>
  <si>
    <t>Increase Admin. Faculty Salaries</t>
  </si>
  <si>
    <t>Increase Classified Staff Salaries</t>
  </si>
  <si>
    <t>Increase University Staff Salaries</t>
  </si>
  <si>
    <t>Increase GTA Salaries</t>
  </si>
  <si>
    <t>Increase Adjunct Faculty Salaries</t>
  </si>
  <si>
    <t>3% annual state health insurance cost</t>
  </si>
  <si>
    <t>3% health increase; here split with GF.</t>
  </si>
  <si>
    <t>[Add lines &amp; descriptions here]</t>
  </si>
  <si>
    <t>Inflationary non-personnel cost increases</t>
  </si>
  <si>
    <t>5.36% annual VITA charge increase</t>
  </si>
  <si>
    <t>Projected VITA increase.</t>
  </si>
  <si>
    <t>Contractual services</t>
  </si>
  <si>
    <t>Utilities</t>
  </si>
  <si>
    <t>$200,000 Inflation</t>
  </si>
  <si>
    <t>Financial aid expansion</t>
  </si>
  <si>
    <t>Addt'l In-State Student Financial Aid from Tuition Rev</t>
  </si>
  <si>
    <t>Addt'l Out-of-State Student Financial Aid from Tuition Rev</t>
  </si>
  <si>
    <t>New/expanded academic programs</t>
  </si>
  <si>
    <t>School of VPAR</t>
  </si>
  <si>
    <t>NSU plans to move departments in visual and performing arts into a separate school to gain synergy from these departments working together.</t>
  </si>
  <si>
    <t>Research and Innovation Infrastructure</t>
  </si>
  <si>
    <t>The University is reorganizing to establish a division of research and innovation. The new division will increase the University's research capabilities and profile, while helping to attarct faculty with more established research credentials and experience.</t>
  </si>
  <si>
    <t xml:space="preserve">School of Social Work </t>
  </si>
  <si>
    <t>In preparation for the changing workforce, NSU is adding additional professional social work programs.</t>
  </si>
  <si>
    <t>Computer Science Curriculum Development</t>
  </si>
  <si>
    <t>In preparation for the changing workforce, NSU is adding a  PhD program in computer science.</t>
  </si>
  <si>
    <t>Nursing Department Expansion</t>
  </si>
  <si>
    <t>NSU will expand its nursing progam to help address the shortfall of nurses in the Commonwealth and the nation</t>
  </si>
  <si>
    <t>Other academic &amp; student support strategies &amp; initiatives</t>
  </si>
  <si>
    <t>Student Academic Support</t>
  </si>
  <si>
    <t>The University sees the benefit in providing students with wholistic academic support to insure they receive consistent advising, academic counseling, and tutoring from admission through graduation. Efforts in this vane will continue and expand.</t>
  </si>
  <si>
    <t>Writing Center</t>
  </si>
  <si>
    <t>Math Center</t>
  </si>
  <si>
    <t>Other non-academic strategies &amp; initiatives</t>
  </si>
  <si>
    <t>New Science Building coming on line</t>
  </si>
  <si>
    <t>$800000 New Sci Bldg + $25,000 Inflation</t>
  </si>
  <si>
    <t>New Fine Art Building coming on line</t>
  </si>
  <si>
    <t>$800000 New Fine Arts Bldg + $25,000 Inflation</t>
  </si>
  <si>
    <t>New Facility Building coming on line</t>
  </si>
  <si>
    <t>$500000 New Facility Bldg + $20,000 Inflation</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</si>
  <si>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</si>
  <si>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</si>
  <si>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</si>
  <si>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</si>
  <si>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</si>
  <si>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</si>
  <si>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</si>
  <si>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</si>
  <si>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</si>
  <si>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</si>
  <si>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</si>
  <si>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</si>
  <si>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</si>
  <si>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</si>
  <si>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</si>
  <si>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</si>
  <si>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</si>
  <si>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</si>
  <si>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</si>
  <si>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</si>
  <si>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</si>
  <si>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</si>
  <si>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</si>
  <si>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</si>
  <si>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</si>
  <si>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</si>
  <si>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</si>
  <si>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</si>
  <si>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</si>
  <si>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</si>
  <si>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</si>
  <si>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</si>
  <si>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</si>
  <si>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</si>
  <si>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</si>
  <si>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</si>
  <si>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</si>
  <si>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</si>
  <si>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</si>
  <si>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</si>
  <si>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</si>
  <si>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</si>
  <si>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</si>
  <si>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</si>
  <si>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</si>
  <si>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</si>
  <si>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</si>
  <si>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</si>
  <si>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</si>
  <si>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</si>
  <si>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</si>
  <si>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</si>
  <si>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</si>
  <si>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</si>
  <si>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</si>
  <si>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</si>
  <si>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</si>
  <si>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</si>
  <si>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</si>
  <si>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</si>
  <si>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</si>
  <si>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</si>
  <si>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</si>
  <si>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</si>
  <si>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Compensation (Living Wage)</t>
  </si>
  <si>
    <t>General Operations Support</t>
  </si>
  <si>
    <t xml:space="preserve">Campus-wide effort to bring the lowest paid employees up to a wage that provides a competitive salary offered by business entities throughout the Hampton Roads region. This initiative is critical to the Success of NSU! </t>
  </si>
  <si>
    <t>Develop comprehensive preparation programs for first generation and Pell eligible students. Streamline work-based learning with experiential learning opportunities</t>
  </si>
  <si>
    <t>Career Readiness &amp; Placement</t>
  </si>
  <si>
    <t>Expand work based experiences on campus and in the local community for all students so that they are developing skills in jobs that have the flexibility to allow them to succeed in the classroom. Expand the successful SP3 program and develop a follow-up program for students that completed the 1st year SP3 program.</t>
  </si>
  <si>
    <t>IT Infrastructure and Innovation</t>
  </si>
  <si>
    <t>Education Innovation / Online Learning</t>
  </si>
  <si>
    <t>NSU is working to both improve it computing infrastucture and to be in a position that allows for better connectivity with the wider world. The University's expanding online education presence has added extra pressures to the campus' technology and as efforts in the online arena increase, there are upgrades needed to the campus' IT capability.</t>
  </si>
  <si>
    <t>Student Success</t>
  </si>
  <si>
    <t>NSU is developing a math facility that will help to address students arriving to campus with deficiencies in math and those needing assistance in specific courses. These student will be assisted with professional math tutors and pedalogy innovations to improve their preparedness for the courses  in which they are enrolled.</t>
  </si>
  <si>
    <t xml:space="preserve">Computer Science Curriculum Development </t>
  </si>
  <si>
    <t>Curriculum</t>
  </si>
  <si>
    <t>The development and implementation of computer science curriculums that will lead to well paid careers for NSU students.</t>
  </si>
  <si>
    <t>Economic Development</t>
  </si>
  <si>
    <t>Establishing the appropriate research and innovation structure will aid the University in securing additional research awards and the development of technologies with private sector partners.</t>
  </si>
  <si>
    <t>Unfunded Scholarship</t>
  </si>
  <si>
    <t>Cost efficiency</t>
  </si>
  <si>
    <t>NSU realizes that merit scholars are an asset to the University's student body. These are highly sought after students, who are generally provided scholarships based on their merit. NSU has limited resources to provide merit scholarships but is seeking permission to use unfunded scholarships for merit students.</t>
  </si>
  <si>
    <t xml:space="preserve">Continue to invest in the mental health, wellness, medical, and other supporting resources </t>
  </si>
  <si>
    <t>Students attending NSU need a full compliment of mental health and wellness services available to them.</t>
  </si>
  <si>
    <t>Spartan Innovation Academy</t>
  </si>
  <si>
    <t>Infrastructure to provide appropriate management and oversight of the SIA is necessary for both operational and programmatic success.  Additionally, staff is needed to promote full integration of devices in the classroom setting, as appropriate, for students, and faculty.</t>
  </si>
  <si>
    <t>Compensation (Market/Competitive)</t>
  </si>
  <si>
    <t>A major infusion is needed to bring the NSU employee compensation to the statewide averages. Increased compensation will make NSU a more attactive employer in the Hampton Roads region and will improve cost efficiency by reducing employee turnover. This request includes $1 million towards Campus Safety Initiatives.</t>
  </si>
  <si>
    <t>GF Request Categories</t>
  </si>
  <si>
    <t>Community Engagement</t>
  </si>
  <si>
    <t>Degree Pathways</t>
  </si>
  <si>
    <t>Enrollment management</t>
  </si>
  <si>
    <t>Financial Aid</t>
  </si>
  <si>
    <t>Partnerships</t>
  </si>
  <si>
    <t>Research</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</si>
  <si>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</si>
  <si>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</si>
  <si>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</si>
  <si>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</si>
  <si>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</si>
  <si>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</si>
  <si>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</si>
  <si>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</si>
  <si>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</si>
  <si>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</si>
  <si>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</si>
  <si>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</si>
  <si>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</si>
  <si>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</si>
  <si>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</si>
  <si>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</si>
  <si>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</si>
  <si>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</si>
  <si>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</si>
  <si>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</si>
  <si>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</si>
  <si>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</si>
  <si>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</si>
  <si>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</si>
  <si>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</si>
  <si>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</si>
  <si>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</si>
  <si>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</si>
  <si>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</si>
  <si>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</si>
  <si>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</si>
  <si>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</si>
  <si>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</si>
  <si>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</si>
  <si>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</si>
  <si>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</si>
  <si>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</si>
  <si>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</si>
  <si>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</si>
  <si>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</si>
  <si>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</si>
  <si>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</si>
  <si>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</si>
  <si>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</si>
  <si>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</si>
  <si>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</si>
  <si>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</si>
  <si>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</si>
  <si>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</si>
  <si>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</si>
  <si>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</si>
  <si>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</si>
  <si>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</si>
  <si>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</si>
  <si>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</si>
  <si>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</si>
  <si>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</si>
  <si>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</si>
  <si>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</si>
  <si>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</si>
  <si>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</si>
  <si>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</si>
  <si>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</si>
  <si>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</si>
  <si>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</si>
  <si>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</si>
  <si>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</si>
  <si>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</si>
  <si>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</si>
  <si>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</si>
  <si>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</si>
  <si>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</si>
  <si>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</si>
  <si>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</si>
  <si>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</si>
  <si>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</si>
  <si>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</si>
  <si>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</si>
  <si>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</si>
  <si>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</si>
  <si>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</si>
  <si>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 xml:space="preserve">Developing good communication skills is essential for all students; the writing center helps to enhance students ability to clearly and concisely develop and express their thoughts. </t>
  </si>
  <si>
    <t>NSU is developing a math facility that will help to address students arriving to campus with deficiencies in math and those needing assistance in specific courses. These student will be assisted with professional math tutors and pedagogical innovations to improve their preparedness for the courses  in which they are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</si>
</sst>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b/>
      <sz val="11"/>
      <color rgb="FFFF0000"/>
      <name val="Arial"/>
      <family val="2"/>
    </font>
    <font>
      <b/>
      <sz val="12"/>
      <color rgb="FFFF0000"/>
      <name val="Arial"/>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C000"/>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6"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1" fillId="0" borderId="0" applyFont="0" applyFill="0" applyBorder="0" applyAlignment="0" applyProtection="0"/>
  </cellStyleXfs>
  <cellXfs count="58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4" fillId="5" borderId="10" xfId="0" applyFont="1" applyFill="1" applyBorder="1" applyAlignment="1">
      <alignment horizontal="center" vertical="center" wrapText="1"/>
    </xf>
    <xf numFmtId="0" fontId="54" fillId="2" borderId="10" xfId="1" applyFont="1" applyFill="1" applyBorder="1" applyAlignment="1">
      <alignment horizontal="center" vertical="center" wrapText="1"/>
    </xf>
    <xf numFmtId="0" fontId="54" fillId="5" borderId="48" xfId="0" applyFont="1" applyFill="1" applyBorder="1" applyAlignment="1">
      <alignment horizontal="center" vertical="center" wrapText="1"/>
    </xf>
    <xf numFmtId="0" fontId="57" fillId="0" borderId="57" xfId="1" applyFont="1" applyBorder="1" applyAlignment="1">
      <alignment horizontal="left" vertical="top" wrapText="1"/>
    </xf>
    <xf numFmtId="0" fontId="14" fillId="0" borderId="0" xfId="1" applyFont="1" applyAlignment="1">
      <alignment horizontal="left" vertical="top" wrapText="1"/>
    </xf>
    <xf numFmtId="0" fontId="58" fillId="3" borderId="55" xfId="1" applyFont="1" applyFill="1" applyBorder="1" applyAlignment="1">
      <alignment horizontal="left" vertical="top" wrapText="1"/>
    </xf>
    <xf numFmtId="0" fontId="42" fillId="0" borderId="0" xfId="1" applyFont="1" applyAlignment="1">
      <alignment horizontal="left" vertical="center" wrapText="1"/>
    </xf>
    <xf numFmtId="0" fontId="53" fillId="0" borderId="0" xfId="1" applyFont="1" applyAlignment="1">
      <alignment horizontal="left" vertical="top" wrapText="1"/>
    </xf>
    <xf numFmtId="0" fontId="42" fillId="0" borderId="57" xfId="1" applyFont="1" applyBorder="1" applyAlignment="1">
      <alignment horizontal="left" vertical="center" wrapText="1"/>
    </xf>
    <xf numFmtId="0" fontId="45" fillId="3" borderId="16" xfId="1" applyFont="1" applyFill="1" applyBorder="1" applyAlignment="1">
      <alignment horizontal="left" vertical="center" wrapText="1"/>
    </xf>
    <xf numFmtId="0" fontId="14" fillId="0" borderId="0" xfId="1" applyFont="1" applyAlignment="1">
      <alignment horizontal="left" vertical="center" wrapText="1"/>
    </xf>
    <xf numFmtId="0" fontId="58" fillId="3" borderId="55" xfId="1" applyFont="1" applyFill="1" applyBorder="1" applyAlignment="1">
      <alignment horizontal="left" vertical="center" wrapText="1"/>
    </xf>
    <xf numFmtId="0" fontId="47" fillId="0" borderId="55" xfId="1" applyFont="1" applyBorder="1" applyAlignment="1">
      <alignment horizontal="left" vertical="center" wrapText="1"/>
    </xf>
    <xf numFmtId="0" fontId="60" fillId="3" borderId="55" xfId="1" applyFont="1" applyFill="1" applyBorder="1" applyAlignment="1">
      <alignment horizontal="left" vertical="center" wrapText="1"/>
    </xf>
    <xf numFmtId="0" fontId="61" fillId="0" borderId="0" xfId="1" applyFont="1" applyAlignment="1">
      <alignment horizontal="left" vertical="center" wrapText="1"/>
    </xf>
    <xf numFmtId="0" fontId="42" fillId="0" borderId="55" xfId="1" applyFont="1" applyBorder="1" applyAlignment="1">
      <alignment horizontal="left" vertical="center" wrapText="1"/>
    </xf>
    <xf numFmtId="0" fontId="58" fillId="7" borderId="55" xfId="1" applyFont="1" applyFill="1" applyBorder="1" applyAlignment="1">
      <alignment horizontal="left" vertical="center" wrapText="1"/>
    </xf>
    <xf numFmtId="0" fontId="42" fillId="7" borderId="57" xfId="1" applyFont="1" applyFill="1" applyBorder="1" applyAlignment="1">
      <alignment horizontal="left" vertical="center" wrapText="1"/>
    </xf>
    <xf numFmtId="0" fontId="62" fillId="3" borderId="55" xfId="1" applyFont="1" applyFill="1" applyBorder="1" applyAlignment="1">
      <alignment horizontal="left" vertical="center" wrapText="1"/>
    </xf>
    <xf numFmtId="0" fontId="63" fillId="0" borderId="57" xfId="1" applyFont="1" applyBorder="1" applyAlignment="1">
      <alignment horizontal="left" vertical="center" wrapText="1"/>
    </xf>
    <xf numFmtId="0" fontId="59" fillId="0" borderId="0" xfId="1" applyFont="1" applyAlignment="1">
      <alignment horizontal="left" vertical="center" wrapText="1"/>
    </xf>
    <xf numFmtId="0" fontId="59"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4"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6" fillId="6" borderId="0" xfId="0" applyFont="1" applyFill="1"/>
    <xf numFmtId="0" fontId="67"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5"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4"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8"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1"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4" fillId="2" borderId="0" xfId="0" applyFont="1" applyFill="1" applyAlignment="1" applyProtection="1">
      <alignment horizontal="center" vertical="center" wrapText="1"/>
      <protection locked="0"/>
    </xf>
    <xf numFmtId="0" fontId="54"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4" fillId="10" borderId="59" xfId="0" applyFont="1" applyFill="1" applyBorder="1" applyAlignment="1" applyProtection="1">
      <alignment horizontal="center" vertical="center" wrapText="1"/>
      <protection locked="0"/>
    </xf>
    <xf numFmtId="0" fontId="54"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4"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4" fillId="2" borderId="72" xfId="0" applyFont="1" applyFill="1" applyBorder="1" applyAlignment="1" applyProtection="1">
      <alignment horizontal="center" vertical="center" wrapText="1"/>
      <protection locked="0"/>
    </xf>
    <xf numFmtId="0" fontId="54"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2"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2" fillId="0" borderId="55" xfId="1" applyFont="1" applyBorder="1" applyAlignment="1">
      <alignment horizontal="left" vertical="top" wrapText="1"/>
    </xf>
    <xf numFmtId="0" fontId="70" fillId="0" borderId="1" xfId="1" applyFont="1" applyBorder="1" applyAlignment="1">
      <alignment horizontal="left" vertical="top" wrapText="1"/>
    </xf>
    <xf numFmtId="0" fontId="42" fillId="0" borderId="57" xfId="1" applyFont="1" applyBorder="1" applyAlignment="1">
      <alignment horizontal="left" vertical="top" wrapText="1"/>
    </xf>
    <xf numFmtId="0" fontId="42"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3" fillId="0" borderId="1" xfId="0" applyFont="1" applyBorder="1"/>
    <xf numFmtId="0" fontId="73"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5" fillId="0" borderId="0" xfId="0" applyFont="1"/>
    <xf numFmtId="0" fontId="74" fillId="0" borderId="1" xfId="0" applyFont="1" applyBorder="1" applyAlignment="1">
      <alignment horizontal="center"/>
    </xf>
    <xf numFmtId="0" fontId="74" fillId="0" borderId="2" xfId="0" applyFont="1" applyBorder="1" applyAlignment="1">
      <alignment horizontal="center"/>
    </xf>
    <xf numFmtId="0" fontId="74" fillId="0" borderId="0" xfId="0" applyFont="1"/>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64" fontId="0" fillId="0" borderId="0" xfId="0" applyNumberFormat="1"/>
    <xf numFmtId="0" fontId="14" fillId="7" borderId="55" xfId="0" applyFont="1" applyFill="1" applyBorder="1"/>
    <xf numFmtId="165" fontId="14" fillId="7" borderId="55" xfId="83" applyNumberFormat="1" applyFont="1" applyFill="1" applyBorder="1"/>
    <xf numFmtId="0" fontId="12" fillId="9" borderId="57" xfId="0" applyFont="1" applyFill="1" applyBorder="1" applyAlignment="1">
      <alignment vertical="center" wrapText="1"/>
    </xf>
    <xf numFmtId="164" fontId="17" fillId="11" borderId="58" xfId="0" applyNumberFormat="1" applyFont="1" applyFill="1" applyBorder="1" applyAlignment="1" applyProtection="1">
      <alignment horizontal="right" vertical="center" wrapText="1"/>
      <protection locked="0"/>
    </xf>
    <xf numFmtId="164" fontId="17" fillId="11" borderId="9" xfId="0" applyNumberFormat="1" applyFont="1" applyFill="1" applyBorder="1" applyAlignment="1" applyProtection="1">
      <alignment horizontal="right" vertical="center" wrapText="1"/>
      <protection locked="0"/>
    </xf>
    <xf numFmtId="164" fontId="17" fillId="0" borderId="16" xfId="12" applyNumberFormat="1" applyFont="1" applyBorder="1" applyAlignment="1">
      <alignment vertical="center"/>
    </xf>
    <xf numFmtId="165" fontId="13" fillId="6" borderId="0" xfId="83" applyNumberFormat="1" applyFont="1" applyFill="1" applyAlignment="1" applyProtection="1">
      <alignment vertical="center"/>
      <protection locked="0"/>
    </xf>
    <xf numFmtId="165" fontId="13" fillId="6" borderId="7" xfId="83" applyNumberFormat="1" applyFont="1" applyFill="1" applyBorder="1" applyAlignment="1" applyProtection="1">
      <alignment horizontal="right" vertical="center"/>
      <protection locked="0"/>
    </xf>
    <xf numFmtId="164" fontId="12" fillId="6" borderId="0" xfId="0" applyNumberFormat="1" applyFont="1" applyFill="1" applyAlignment="1">
      <alignment vertical="center"/>
    </xf>
    <xf numFmtId="166" fontId="12" fillId="0" borderId="0" xfId="138" applyNumberFormat="1" applyFont="1"/>
    <xf numFmtId="166" fontId="12" fillId="0" borderId="0" xfId="0" applyNumberFormat="1" applyFont="1"/>
    <xf numFmtId="43" fontId="0" fillId="6" borderId="0" xfId="0" applyNumberFormat="1" applyFill="1"/>
    <xf numFmtId="0" fontId="0" fillId="6" borderId="8" xfId="0" applyFill="1" applyBorder="1"/>
    <xf numFmtId="164" fontId="17" fillId="0" borderId="30" xfId="0" applyNumberFormat="1" applyFont="1" applyBorder="1" applyAlignment="1">
      <alignment horizontal="right" vertical="top" wrapText="1"/>
    </xf>
    <xf numFmtId="0" fontId="12" fillId="0" borderId="55" xfId="0" applyFont="1" applyBorder="1" applyAlignment="1">
      <alignment vertical="top" wrapText="1"/>
    </xf>
    <xf numFmtId="164" fontId="17" fillId="0" borderId="49" xfId="0" applyNumberFormat="1" applyFont="1" applyBorder="1" applyAlignment="1">
      <alignment horizontal="right" vertical="top" wrapText="1"/>
    </xf>
    <xf numFmtId="164" fontId="17" fillId="0" borderId="53" xfId="0" applyNumberFormat="1" applyFont="1" applyBorder="1" applyAlignment="1">
      <alignment horizontal="right" vertical="top" wrapText="1"/>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78" fillId="0" borderId="47" xfId="0" applyFont="1" applyBorder="1" applyAlignment="1">
      <alignment vertical="top" wrapText="1"/>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39" fillId="0" borderId="14" xfId="7" applyFont="1" applyBorder="1" applyAlignment="1">
      <alignment horizontal="left"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2" fillId="2" borderId="62" xfId="0" applyFont="1" applyFill="1" applyBorder="1" applyAlignment="1">
      <alignment horizontal="center" wrapText="1"/>
    </xf>
    <xf numFmtId="0" fontId="52" fillId="2" borderId="61" xfId="0" applyFont="1" applyFill="1" applyBorder="1" applyAlignment="1">
      <alignment horizontal="center" wrapText="1"/>
    </xf>
    <xf numFmtId="0" fontId="52"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4"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5" fillId="0" borderId="56" xfId="1" applyFont="1" applyBorder="1" applyAlignment="1">
      <alignment horizontal="left" vertical="center" wrapText="1"/>
    </xf>
    <xf numFmtId="0" fontId="55"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3" fillId="6" borderId="3" xfId="1" applyFont="1" applyFill="1" applyBorder="1" applyAlignment="1" applyProtection="1">
      <alignment horizontal="center" vertical="center"/>
      <protection locked="0"/>
    </xf>
    <xf numFmtId="0" fontId="53"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21" builtinId="9" hidden="1"/>
    <cellStyle name="Followed Hyperlink" xfId="30" builtinId="9" hidden="1"/>
    <cellStyle name="Followed Hyperlink" xfId="28" builtinId="9" hidden="1"/>
    <cellStyle name="Followed Hyperlink" xfId="57" builtinId="9" hidden="1"/>
    <cellStyle name="Followed Hyperlink" xfId="52" builtinId="9" hidden="1"/>
    <cellStyle name="Followed Hyperlink" xfId="64" builtinId="9" hidden="1"/>
    <cellStyle name="Followed Hyperlink" xfId="19" builtinId="9" hidden="1"/>
    <cellStyle name="Followed Hyperlink" xfId="39" builtinId="9" hidden="1"/>
    <cellStyle name="Followed Hyperlink" xfId="27" builtinId="9" hidden="1"/>
    <cellStyle name="Followed Hyperlink" xfId="53" builtinId="9" hidden="1"/>
    <cellStyle name="Followed Hyperlink" xfId="49" builtinId="9" hidden="1"/>
    <cellStyle name="Followed Hyperlink" xfId="15" builtinId="9" hidden="1"/>
    <cellStyle name="Followed Hyperlink" xfId="34" builtinId="9" hidden="1"/>
    <cellStyle name="Followed Hyperlink" xfId="51" builtinId="9" hidden="1"/>
    <cellStyle name="Followed Hyperlink" xfId="78" builtinId="9" hidden="1"/>
    <cellStyle name="Followed Hyperlink" xfId="31" builtinId="9" hidden="1"/>
    <cellStyle name="Followed Hyperlink" xfId="37" builtinId="9" hidden="1"/>
    <cellStyle name="Followed Hyperlink" xfId="61" builtinId="9" hidden="1"/>
    <cellStyle name="Followed Hyperlink" xfId="24" builtinId="9" hidden="1"/>
    <cellStyle name="Followed Hyperlink" xfId="26" builtinId="9" hidden="1"/>
    <cellStyle name="Followed Hyperlink" xfId="35" builtinId="9" hidden="1"/>
    <cellStyle name="Followed Hyperlink" xfId="55" builtinId="9" hidden="1"/>
    <cellStyle name="Followed Hyperlink" xfId="29" builtinId="9" hidden="1"/>
    <cellStyle name="Followed Hyperlink" xfId="54" builtinId="9" hidden="1"/>
    <cellStyle name="Followed Hyperlink" xfId="33" builtinId="9" hidden="1"/>
    <cellStyle name="Followed Hyperlink" xfId="43" builtinId="9" hidden="1"/>
    <cellStyle name="Followed Hyperlink" xfId="25" builtinId="9" hidden="1"/>
    <cellStyle name="Followed Hyperlink" xfId="68" builtinId="9" hidden="1"/>
    <cellStyle name="Followed Hyperlink" xfId="38" builtinId="9" hidden="1"/>
    <cellStyle name="Followed Hyperlink" xfId="72" builtinId="9" hidden="1"/>
    <cellStyle name="Followed Hyperlink" xfId="74" builtinId="9" hidden="1"/>
    <cellStyle name="Followed Hyperlink" xfId="62" builtinId="9" hidden="1"/>
    <cellStyle name="Followed Hyperlink" xfId="41" builtinId="9" hidden="1"/>
    <cellStyle name="Followed Hyperlink" xfId="60" builtinId="9" hidden="1"/>
    <cellStyle name="Followed Hyperlink" xfId="65" builtinId="9" hidden="1"/>
    <cellStyle name="Followed Hyperlink" xfId="73" builtinId="9" hidden="1"/>
    <cellStyle name="Followed Hyperlink" xfId="20" builtinId="9" hidden="1"/>
    <cellStyle name="Followed Hyperlink" xfId="22" builtinId="9" hidden="1"/>
    <cellStyle name="Followed Hyperlink" xfId="23" builtinId="9" hidden="1"/>
    <cellStyle name="Followed Hyperlink" xfId="17" builtinId="9" hidden="1"/>
    <cellStyle name="Followed Hyperlink" xfId="16" builtinId="9" hidden="1"/>
    <cellStyle name="Followed Hyperlink" xfId="36" builtinId="9" hidden="1"/>
    <cellStyle name="Followed Hyperlink" xfId="32" builtinId="9" hidden="1"/>
    <cellStyle name="Followed Hyperlink" xfId="70" builtinId="9" hidden="1"/>
    <cellStyle name="Followed Hyperlink" xfId="71" builtinId="9" hidden="1"/>
    <cellStyle name="Followed Hyperlink" xfId="77" builtinId="9" hidden="1"/>
    <cellStyle name="Followed Hyperlink" xfId="46" builtinId="9" hidden="1"/>
    <cellStyle name="Followed Hyperlink" xfId="81" builtinId="9" hidden="1"/>
    <cellStyle name="Followed Hyperlink" xfId="79" builtinId="9" hidden="1"/>
    <cellStyle name="Followed Hyperlink" xfId="50" builtinId="9" hidden="1"/>
    <cellStyle name="Followed Hyperlink" xfId="48" builtinId="9" hidden="1"/>
    <cellStyle name="Followed Hyperlink" xfId="44" builtinId="9" hidden="1"/>
    <cellStyle name="Followed Hyperlink" xfId="67" builtinId="9" hidden="1"/>
    <cellStyle name="Followed Hyperlink" xfId="47" builtinId="9" hidden="1"/>
    <cellStyle name="Followed Hyperlink" xfId="80" builtinId="9" hidden="1"/>
    <cellStyle name="Followed Hyperlink" xfId="66" builtinId="9" hidden="1"/>
    <cellStyle name="Followed Hyperlink" xfId="76" builtinId="9" hidden="1"/>
    <cellStyle name="Followed Hyperlink" xfId="59" builtinId="9" hidden="1"/>
    <cellStyle name="Followed Hyperlink" xfId="56" builtinId="9" hidden="1"/>
    <cellStyle name="Followed Hyperlink" xfId="82" builtinId="9" hidden="1"/>
    <cellStyle name="Followed Hyperlink" xfId="63" builtinId="9" hidden="1"/>
    <cellStyle name="Followed Hyperlink" xfId="45" builtinId="9" hidden="1"/>
    <cellStyle name="Followed Hyperlink" xfId="75" builtinId="9" hidden="1"/>
    <cellStyle name="Followed Hyperlink" xfId="40" builtinId="9" hidden="1"/>
    <cellStyle name="Followed Hyperlink" xfId="18" builtinId="9" hidden="1"/>
    <cellStyle name="Followed Hyperlink" xfId="58" builtinId="9" hidden="1"/>
    <cellStyle name="Followed Hyperlink" xfId="42" builtinId="9" hidden="1"/>
    <cellStyle name="Followed Hyperlink" xfId="69"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zoomScale="130" zoomScaleNormal="130" workbookViewId="0">
      <selection activeCell="A9" sqref="A9"/>
    </sheetView>
  </sheetViews>
  <sheetFormatPr defaultColWidth="164.42578125" defaultRowHeight="15" x14ac:dyDescent="0.2"/>
  <cols>
    <col min="1" max="1" width="170.5703125" style="60" customWidth="1"/>
    <col min="2" max="16384" width="164.42578125" style="60"/>
  </cols>
  <sheetData>
    <row r="1" spans="1:1" ht="21" customHeight="1" x14ac:dyDescent="0.2">
      <c r="A1" s="59" t="s">
        <v>0</v>
      </c>
    </row>
    <row r="2" spans="1:1" ht="21" customHeight="1" x14ac:dyDescent="0.2">
      <c r="A2" s="59" t="s">
        <v>1</v>
      </c>
    </row>
    <row r="3" spans="1:1" ht="21" customHeight="1" x14ac:dyDescent="0.2">
      <c r="A3" s="354" t="s">
        <v>2</v>
      </c>
    </row>
    <row r="4" spans="1:1" ht="16.350000000000001" customHeight="1" x14ac:dyDescent="0.2">
      <c r="A4" s="355"/>
    </row>
    <row r="5" spans="1:1" ht="21" customHeight="1" x14ac:dyDescent="0.2">
      <c r="A5" s="61" t="s">
        <v>3</v>
      </c>
    </row>
    <row r="6" spans="1:1" s="62" customFormat="1" ht="75" customHeight="1" x14ac:dyDescent="0.2">
      <c r="A6" s="71" t="s">
        <v>4</v>
      </c>
    </row>
    <row r="7" spans="1:1" s="63" customFormat="1" ht="21" customHeight="1" x14ac:dyDescent="0.2">
      <c r="A7" s="61" t="s">
        <v>5</v>
      </c>
    </row>
    <row r="8" spans="1:1" s="62" customFormat="1" ht="69.599999999999994" customHeight="1" x14ac:dyDescent="0.2">
      <c r="A8" s="356" t="s">
        <v>6</v>
      </c>
    </row>
    <row r="9" spans="1:1" s="62" customFormat="1" ht="54.6" customHeight="1" thickBot="1" x14ac:dyDescent="0.25">
      <c r="A9" s="64" t="s">
        <v>7</v>
      </c>
    </row>
    <row r="10" spans="1:1" s="62" customFormat="1" ht="33" customHeight="1" thickBot="1" x14ac:dyDescent="0.25">
      <c r="A10" s="65" t="s">
        <v>8</v>
      </c>
    </row>
    <row r="11" spans="1:1" s="62" customFormat="1" ht="23.45" customHeight="1" x14ac:dyDescent="0.2">
      <c r="A11" s="67" t="s">
        <v>9</v>
      </c>
    </row>
    <row r="12" spans="1:1" s="62" customFormat="1" ht="57" customHeight="1" x14ac:dyDescent="0.2">
      <c r="A12" s="68" t="s">
        <v>10</v>
      </c>
    </row>
    <row r="13" spans="1:1" s="66" customFormat="1" ht="21" customHeight="1" x14ac:dyDescent="0.2">
      <c r="A13" s="67" t="s">
        <v>11</v>
      </c>
    </row>
    <row r="14" spans="1:1" s="66" customFormat="1" ht="73.5" customHeight="1" x14ac:dyDescent="0.2">
      <c r="A14" s="71" t="s">
        <v>12</v>
      </c>
    </row>
    <row r="15" spans="1:1" s="66" customFormat="1" ht="50.1" customHeight="1" x14ac:dyDescent="0.2">
      <c r="A15" s="71" t="s">
        <v>13</v>
      </c>
    </row>
    <row r="16" spans="1:1" s="70" customFormat="1" ht="21" customHeight="1" x14ac:dyDescent="0.2">
      <c r="A16" s="69" t="s">
        <v>14</v>
      </c>
    </row>
    <row r="17" spans="1:18" s="66" customFormat="1" ht="100.5" customHeight="1" x14ac:dyDescent="0.2">
      <c r="A17" s="71" t="s">
        <v>15</v>
      </c>
    </row>
    <row r="18" spans="1:18" s="66" customFormat="1" ht="21" customHeight="1" x14ac:dyDescent="0.2">
      <c r="A18" s="67" t="s">
        <v>16</v>
      </c>
    </row>
    <row r="19" spans="1:18" s="66" customFormat="1" ht="353.25" customHeight="1" x14ac:dyDescent="0.2">
      <c r="A19" s="374" t="s">
        <v>17</v>
      </c>
      <c r="B19" s="357"/>
      <c r="C19" s="357"/>
      <c r="D19" s="357"/>
      <c r="E19" s="357"/>
      <c r="F19" s="357"/>
      <c r="G19" s="357"/>
      <c r="H19" s="357"/>
      <c r="I19" s="357"/>
      <c r="J19" s="357"/>
      <c r="K19" s="357"/>
      <c r="L19" s="357"/>
      <c r="M19" s="357"/>
      <c r="N19" s="357"/>
      <c r="O19" s="357"/>
    </row>
    <row r="20" spans="1:18" s="66" customFormat="1" ht="180" x14ac:dyDescent="0.2">
      <c r="A20" s="358" t="s">
        <v>18</v>
      </c>
      <c r="B20" s="357"/>
      <c r="C20" s="357"/>
      <c r="D20" s="357"/>
      <c r="E20" s="357"/>
      <c r="F20" s="357"/>
      <c r="G20" s="357"/>
      <c r="H20" s="357"/>
      <c r="I20" s="357"/>
      <c r="J20" s="357"/>
      <c r="K20" s="357"/>
      <c r="L20" s="357"/>
      <c r="M20" s="357"/>
      <c r="N20" s="357"/>
      <c r="O20" s="357"/>
    </row>
    <row r="21" spans="1:18" s="62" customFormat="1" ht="37.5" customHeight="1" x14ac:dyDescent="0.2">
      <c r="A21" s="359" t="s">
        <v>19</v>
      </c>
    </row>
    <row r="22" spans="1:18" s="62" customFormat="1" ht="33.6" customHeight="1" x14ac:dyDescent="0.2">
      <c r="A22" s="360" t="s">
        <v>20</v>
      </c>
    </row>
    <row r="23" spans="1:18" s="62" customFormat="1" ht="21" customHeight="1" x14ac:dyDescent="0.2">
      <c r="A23" s="361" t="s">
        <v>21</v>
      </c>
    </row>
    <row r="24" spans="1:18" s="62" customFormat="1" ht="21" customHeight="1" x14ac:dyDescent="0.2">
      <c r="A24" s="361" t="s">
        <v>22</v>
      </c>
    </row>
    <row r="25" spans="1:18" s="62" customFormat="1" ht="21" customHeight="1" x14ac:dyDescent="0.2">
      <c r="A25" s="362" t="s">
        <v>23</v>
      </c>
    </row>
    <row r="26" spans="1:18" s="70" customFormat="1" ht="21" customHeight="1" thickBot="1" x14ac:dyDescent="0.25">
      <c r="A26" s="67" t="s">
        <v>24</v>
      </c>
      <c r="B26" s="236"/>
      <c r="C26" s="236"/>
      <c r="D26" s="236"/>
      <c r="E26" s="236"/>
      <c r="F26" s="236"/>
      <c r="G26" s="236"/>
      <c r="H26" s="236"/>
    </row>
    <row r="27" spans="1:18" s="62" customFormat="1" ht="145.5" customHeight="1" x14ac:dyDescent="0.2">
      <c r="A27" s="363" t="s">
        <v>25</v>
      </c>
      <c r="B27" s="235"/>
      <c r="C27" s="235"/>
      <c r="D27" s="235"/>
      <c r="E27" s="235"/>
      <c r="F27" s="235"/>
      <c r="G27" s="235"/>
      <c r="H27" s="235"/>
      <c r="I27" s="235"/>
      <c r="J27" s="235"/>
      <c r="K27" s="235"/>
      <c r="L27" s="235"/>
      <c r="M27" s="235"/>
      <c r="N27" s="235"/>
      <c r="O27" s="235"/>
      <c r="P27" s="235"/>
      <c r="Q27" s="235"/>
      <c r="R27" s="235"/>
    </row>
    <row r="28" spans="1:18" s="62" customFormat="1" ht="21" customHeight="1" x14ac:dyDescent="0.2">
      <c r="A28" s="67" t="s">
        <v>26</v>
      </c>
    </row>
    <row r="29" spans="1:18" s="62" customFormat="1" ht="147.75" customHeight="1" x14ac:dyDescent="0.2">
      <c r="A29" s="364" t="s">
        <v>27</v>
      </c>
      <c r="B29" s="235"/>
      <c r="C29" s="235"/>
      <c r="D29" s="235"/>
      <c r="E29" s="235"/>
      <c r="F29" s="235"/>
      <c r="G29" s="235"/>
      <c r="H29" s="235"/>
    </row>
    <row r="30" spans="1:18" s="62" customFormat="1" ht="38.450000000000003" customHeight="1" x14ac:dyDescent="0.2">
      <c r="A30" s="68" t="s">
        <v>28</v>
      </c>
    </row>
    <row r="31" spans="1:18" s="62" customFormat="1" ht="69" customHeight="1" x14ac:dyDescent="0.2">
      <c r="A31" s="68" t="s">
        <v>29</v>
      </c>
    </row>
    <row r="32" spans="1:18" s="66" customFormat="1" ht="51.6" customHeight="1" x14ac:dyDescent="0.2">
      <c r="A32" s="71" t="s">
        <v>30</v>
      </c>
    </row>
    <row r="33" spans="1:1" s="66" customFormat="1" ht="21" customHeight="1" x14ac:dyDescent="0.2">
      <c r="A33" s="72" t="s">
        <v>31</v>
      </c>
    </row>
    <row r="34" spans="1:1" ht="21" customHeight="1" x14ac:dyDescent="0.2">
      <c r="A34" s="73" t="s">
        <v>32</v>
      </c>
    </row>
    <row r="35" spans="1:1" ht="21" customHeight="1" x14ac:dyDescent="0.2">
      <c r="A35" s="73" t="s">
        <v>33</v>
      </c>
    </row>
    <row r="36" spans="1:1" s="62" customFormat="1" ht="21" customHeight="1" x14ac:dyDescent="0.2">
      <c r="A36" s="73" t="s">
        <v>34</v>
      </c>
    </row>
    <row r="37" spans="1:1" s="62" customFormat="1" ht="21" customHeight="1" x14ac:dyDescent="0.2">
      <c r="A37" s="73" t="s">
        <v>35</v>
      </c>
    </row>
    <row r="38" spans="1:1" s="62" customFormat="1" ht="21" customHeight="1" x14ac:dyDescent="0.2">
      <c r="A38" s="73" t="s">
        <v>36</v>
      </c>
    </row>
    <row r="39" spans="1:1" s="62" customFormat="1" ht="21" customHeight="1" x14ac:dyDescent="0.2">
      <c r="A39" s="67" t="s">
        <v>37</v>
      </c>
    </row>
    <row r="40" spans="1:1" s="66" customFormat="1" ht="21" customHeight="1" x14ac:dyDescent="0.2">
      <c r="A40" s="74" t="s">
        <v>38</v>
      </c>
    </row>
    <row r="41" spans="1:1" s="76" customFormat="1" ht="145.35" customHeight="1" x14ac:dyDescent="0.2">
      <c r="A41" s="75" t="s">
        <v>39</v>
      </c>
    </row>
    <row r="42" spans="1:1" s="76" customFormat="1" ht="57.6" customHeight="1" x14ac:dyDescent="0.2">
      <c r="A42" s="75" t="s">
        <v>40</v>
      </c>
    </row>
    <row r="43" spans="1:1" s="76" customFormat="1" ht="64.349999999999994" customHeight="1" x14ac:dyDescent="0.2">
      <c r="A43" s="75" t="s">
        <v>41</v>
      </c>
    </row>
    <row r="44" spans="1:1" s="76" customFormat="1" ht="77.099999999999994" customHeight="1" x14ac:dyDescent="0.2">
      <c r="A44" s="75" t="s">
        <v>42</v>
      </c>
    </row>
    <row r="45" spans="1:1" s="76" customFormat="1" ht="28.35" customHeight="1" x14ac:dyDescent="0.2">
      <c r="A45" s="75" t="s">
        <v>43</v>
      </c>
    </row>
    <row r="46" spans="1:1" s="76" customFormat="1" ht="26.1" customHeight="1" x14ac:dyDescent="0.2">
      <c r="A46" s="77" t="s">
        <v>44</v>
      </c>
    </row>
    <row r="47" spans="1:1" s="76" customFormat="1" ht="36" customHeight="1" x14ac:dyDescent="0.2">
      <c r="A47" s="75" t="s">
        <v>45</v>
      </c>
    </row>
    <row r="48" spans="1:1" s="76" customFormat="1" ht="20.25" customHeight="1" x14ac:dyDescent="0.2">
      <c r="A48" s="75" t="s">
        <v>46</v>
      </c>
    </row>
    <row r="49" spans="1:1" s="76" customFormat="1" ht="21.6" customHeight="1" x14ac:dyDescent="0.2">
      <c r="A49" s="75" t="s">
        <v>47</v>
      </c>
    </row>
    <row r="50" spans="1:1" s="76" customFormat="1" ht="24.6" customHeight="1" x14ac:dyDescent="0.2">
      <c r="A50" s="77" t="s">
        <v>48</v>
      </c>
    </row>
    <row r="51" spans="1:1" s="76" customFormat="1" ht="17.45" customHeight="1" x14ac:dyDescent="0.2">
      <c r="A51" s="77" t="s">
        <v>49</v>
      </c>
    </row>
    <row r="52" spans="1:1" s="76" customFormat="1" ht="35.1" customHeight="1" x14ac:dyDescent="0.2">
      <c r="A52" s="77" t="s">
        <v>50</v>
      </c>
    </row>
    <row r="53" spans="1:1" s="76" customFormat="1" ht="57" customHeight="1" x14ac:dyDescent="0.2">
      <c r="A53" s="77" t="s">
        <v>51</v>
      </c>
    </row>
    <row r="54" spans="1:1" s="76" customFormat="1" ht="62.1" customHeight="1" x14ac:dyDescent="0.2">
      <c r="A54" s="77" t="s">
        <v>52</v>
      </c>
    </row>
    <row r="55" spans="1:1" s="76" customFormat="1" ht="107.1" customHeight="1" x14ac:dyDescent="0.2">
      <c r="A55" s="77" t="s">
        <v>53</v>
      </c>
    </row>
    <row r="56" spans="1:1" s="76" customFormat="1" ht="63" customHeight="1" x14ac:dyDescent="0.2">
      <c r="A56" s="77" t="s">
        <v>54</v>
      </c>
    </row>
    <row r="57" spans="1:1" s="76" customFormat="1" ht="24" customHeight="1" x14ac:dyDescent="0.2">
      <c r="A57" s="77" t="s">
        <v>55</v>
      </c>
    </row>
    <row r="58" spans="1:1" s="76" customFormat="1" ht="23.1" customHeight="1" x14ac:dyDescent="0.2">
      <c r="A58" s="77" t="s">
        <v>56</v>
      </c>
    </row>
    <row r="59" spans="1:1" s="62" customFormat="1" ht="85.5" x14ac:dyDescent="0.2">
      <c r="A59" s="77" t="s">
        <v>57</v>
      </c>
    </row>
    <row r="60" spans="1:1" s="62" customFormat="1" ht="51.6" customHeight="1" x14ac:dyDescent="0.2">
      <c r="A60" s="77" t="s">
        <v>58</v>
      </c>
    </row>
    <row r="61" spans="1:1" s="62" customFormat="1" ht="89.45" customHeight="1" x14ac:dyDescent="0.2">
      <c r="A61" s="77" t="s">
        <v>59</v>
      </c>
    </row>
    <row r="62" spans="1:1" s="62" customFormat="1" ht="32.450000000000003" customHeight="1" x14ac:dyDescent="0.2">
      <c r="A62" s="77" t="s">
        <v>60</v>
      </c>
    </row>
    <row r="63" spans="1:1" hidden="1" x14ac:dyDescent="0.2">
      <c r="A63" s="78"/>
    </row>
    <row r="64" spans="1:1" hidden="1" x14ac:dyDescent="0.2">
      <c r="A64" s="78"/>
    </row>
    <row r="65" spans="1:1" hidden="1" x14ac:dyDescent="0.2">
      <c r="A65" s="78"/>
    </row>
    <row r="66" spans="1:1" s="100" customFormat="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75" x14ac:dyDescent="0.2"/>
  <cols>
    <col min="1" max="1" width="40" bestFit="1" customWidth="1"/>
  </cols>
  <sheetData>
    <row r="1" spans="1:1" x14ac:dyDescent="0.2">
      <c r="A1" s="309" t="s">
        <v>320</v>
      </c>
    </row>
    <row r="2" spans="1:1" ht="15" x14ac:dyDescent="0.2">
      <c r="A2" s="307" t="s">
        <v>299</v>
      </c>
    </row>
    <row r="3" spans="1:1" ht="15" x14ac:dyDescent="0.2">
      <c r="A3" s="189" t="s">
        <v>321</v>
      </c>
    </row>
    <row r="4" spans="1:1" ht="15" x14ac:dyDescent="0.2">
      <c r="A4" s="307" t="s">
        <v>312</v>
      </c>
    </row>
    <row r="5" spans="1:1" ht="15" x14ac:dyDescent="0.2">
      <c r="A5" s="307" t="s">
        <v>307</v>
      </c>
    </row>
    <row r="6" spans="1:1" ht="15" x14ac:dyDescent="0.2">
      <c r="A6" s="306" t="s">
        <v>322</v>
      </c>
    </row>
    <row r="7" spans="1:1" ht="15" x14ac:dyDescent="0.2">
      <c r="A7" s="307" t="s">
        <v>309</v>
      </c>
    </row>
    <row r="8" spans="1:1" ht="15" x14ac:dyDescent="0.2">
      <c r="A8" s="308" t="s">
        <v>302</v>
      </c>
    </row>
    <row r="9" spans="1:1" ht="15" x14ac:dyDescent="0.2">
      <c r="A9" s="308" t="s">
        <v>323</v>
      </c>
    </row>
    <row r="10" spans="1:1" ht="15" x14ac:dyDescent="0.2">
      <c r="A10" s="310" t="s">
        <v>324</v>
      </c>
    </row>
    <row r="11" spans="1:1" ht="15" x14ac:dyDescent="0.2">
      <c r="A11" s="310" t="s">
        <v>296</v>
      </c>
    </row>
    <row r="12" spans="1:1" ht="15" x14ac:dyDescent="0.2">
      <c r="A12" s="308" t="s">
        <v>325</v>
      </c>
    </row>
    <row r="13" spans="1:1" ht="15" x14ac:dyDescent="0.2">
      <c r="A13" s="308" t="s">
        <v>326</v>
      </c>
    </row>
    <row r="14" spans="1:1" ht="15" x14ac:dyDescent="0.2">
      <c r="A14" s="308" t="s">
        <v>304</v>
      </c>
    </row>
    <row r="15" spans="1:1" ht="15" x14ac:dyDescent="0.2">
      <c r="A15" s="189" t="s">
        <v>327</v>
      </c>
    </row>
    <row r="16" spans="1:1" ht="15" x14ac:dyDescent="0.2">
      <c r="A16" s="189" t="s">
        <v>328</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28" t="str">
        <f>'Institution ID'!A1</f>
        <v>Six-Year Plans (2023): 2024-25 through 2029-30</v>
      </c>
      <c r="B1" s="428"/>
      <c r="C1" s="428"/>
      <c r="D1" s="428"/>
      <c r="E1" s="428"/>
      <c r="F1" s="428"/>
      <c r="G1" s="428"/>
      <c r="H1" s="428"/>
      <c r="I1" s="9"/>
      <c r="J1" s="8"/>
      <c r="K1" s="8"/>
      <c r="L1" s="8"/>
      <c r="M1" s="8"/>
    </row>
    <row r="2" spans="1:13" s="1" customFormat="1" ht="20.100000000000001" customHeight="1" x14ac:dyDescent="0.2">
      <c r="A2" s="376" t="str">
        <f>'Institution ID'!C3</f>
        <v>Institution Name:   Norfolk State University</v>
      </c>
      <c r="B2" s="31"/>
      <c r="C2" s="31"/>
      <c r="D2" s="31"/>
      <c r="E2" s="31"/>
      <c r="F2" s="31"/>
      <c r="G2" s="31"/>
      <c r="H2" s="31"/>
      <c r="I2" s="31"/>
      <c r="J2" s="8"/>
      <c r="K2" s="8"/>
      <c r="L2" s="8"/>
      <c r="M2" s="8"/>
    </row>
    <row r="3" spans="1:13" ht="20.100000000000001" customHeight="1" x14ac:dyDescent="0.2">
      <c r="A3" s="30" t="s">
        <v>329</v>
      </c>
      <c r="B3" s="30"/>
      <c r="C3" s="30"/>
      <c r="D3" s="30"/>
      <c r="E3" s="30"/>
      <c r="F3" s="30"/>
      <c r="G3" s="30"/>
      <c r="H3" s="30"/>
      <c r="I3" s="30"/>
    </row>
    <row r="4" spans="1:13" ht="20.100000000000001" customHeight="1" x14ac:dyDescent="0.2">
      <c r="A4" s="30" t="s">
        <v>330</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75" t="s">
        <v>331</v>
      </c>
      <c r="B6" s="576"/>
      <c r="C6" s="576"/>
      <c r="D6" s="576"/>
      <c r="E6" s="576"/>
      <c r="F6" s="576"/>
      <c r="G6" s="576"/>
      <c r="H6" s="577"/>
      <c r="I6" s="15"/>
    </row>
    <row r="7" spans="1:13" s="1" customFormat="1" ht="20.100000000000001" customHeight="1" x14ac:dyDescent="0.2">
      <c r="A7" s="515" t="s">
        <v>332</v>
      </c>
      <c r="B7" s="578"/>
      <c r="C7" s="578"/>
      <c r="D7" s="578"/>
      <c r="E7" s="578"/>
      <c r="F7" s="578"/>
      <c r="G7" s="578"/>
      <c r="H7" s="509"/>
    </row>
    <row r="8" spans="1:13" s="1" customFormat="1" ht="20.100000000000001" customHeight="1" x14ac:dyDescent="0.2">
      <c r="A8" s="517" t="s">
        <v>333</v>
      </c>
      <c r="B8" s="517" t="s">
        <v>334</v>
      </c>
      <c r="C8" s="517"/>
      <c r="D8" s="517"/>
      <c r="E8" s="517" t="s">
        <v>335</v>
      </c>
      <c r="F8" s="517"/>
      <c r="G8" s="517"/>
      <c r="H8" s="550" t="s">
        <v>157</v>
      </c>
    </row>
    <row r="9" spans="1:13" s="1" customFormat="1" ht="20.100000000000001" customHeight="1" x14ac:dyDescent="0.2">
      <c r="A9" s="579"/>
      <c r="B9" s="381" t="s">
        <v>336</v>
      </c>
      <c r="C9" s="381" t="s">
        <v>337</v>
      </c>
      <c r="D9" s="381" t="s">
        <v>157</v>
      </c>
      <c r="E9" s="381" t="s">
        <v>336</v>
      </c>
      <c r="F9" s="381" t="s">
        <v>337</v>
      </c>
      <c r="G9" s="381" t="s">
        <v>157</v>
      </c>
      <c r="H9" s="551"/>
    </row>
    <row r="10" spans="1:13" s="1" customFormat="1" ht="20.100000000000001" customHeight="1" x14ac:dyDescent="0.2">
      <c r="A10" s="21" t="s">
        <v>147</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82" t="s">
        <v>338</v>
      </c>
      <c r="B11" s="13">
        <v>0</v>
      </c>
      <c r="C11" s="13">
        <v>0</v>
      </c>
      <c r="D11" s="14">
        <f>B11+C11</f>
        <v>0</v>
      </c>
      <c r="E11" s="13">
        <v>0</v>
      </c>
      <c r="F11" s="13">
        <v>0</v>
      </c>
      <c r="G11" s="18">
        <f>E11+F11</f>
        <v>0</v>
      </c>
      <c r="H11" s="20">
        <f>SUM(D11,G11)</f>
        <v>0</v>
      </c>
    </row>
    <row r="12" spans="1:13" s="1" customFormat="1" ht="20.100000000000001" customHeight="1" x14ac:dyDescent="0.2">
      <c r="A12" s="382" t="s">
        <v>339</v>
      </c>
      <c r="B12" s="110">
        <v>0</v>
      </c>
      <c r="C12" s="110">
        <v>0</v>
      </c>
      <c r="D12" s="111">
        <f t="shared" ref="D12:D25" si="0">B12+C12</f>
        <v>0</v>
      </c>
      <c r="E12" s="110">
        <v>830621</v>
      </c>
      <c r="F12" s="110">
        <v>19920</v>
      </c>
      <c r="G12" s="19">
        <f t="shared" ref="G12:G25" si="1">E12+F12</f>
        <v>850541</v>
      </c>
      <c r="H12" s="20">
        <f t="shared" ref="H12:H25" si="2">SUM(D12,G12)</f>
        <v>850541</v>
      </c>
    </row>
    <row r="13" spans="1:13" s="1" customFormat="1" ht="20.100000000000001" customHeight="1" x14ac:dyDescent="0.2">
      <c r="A13" s="382" t="s">
        <v>340</v>
      </c>
      <c r="B13" s="110">
        <v>0</v>
      </c>
      <c r="C13" s="110">
        <v>0</v>
      </c>
      <c r="D13" s="111">
        <f t="shared" si="0"/>
        <v>0</v>
      </c>
      <c r="E13" s="110">
        <v>38052</v>
      </c>
      <c r="F13" s="110">
        <v>0</v>
      </c>
      <c r="G13" s="19">
        <f t="shared" si="1"/>
        <v>38052</v>
      </c>
      <c r="H13" s="20">
        <f t="shared" si="2"/>
        <v>38052</v>
      </c>
    </row>
    <row r="14" spans="1:13" s="1" customFormat="1" ht="20.100000000000001" customHeight="1" x14ac:dyDescent="0.2">
      <c r="A14" s="28" t="s">
        <v>341</v>
      </c>
      <c r="B14" s="112"/>
      <c r="C14" s="112"/>
      <c r="D14" s="112"/>
      <c r="E14" s="112"/>
      <c r="F14" s="112"/>
      <c r="G14" s="29"/>
      <c r="H14" s="29"/>
    </row>
    <row r="15" spans="1:13" s="1" customFormat="1" ht="20.100000000000001" customHeight="1" x14ac:dyDescent="0.2">
      <c r="A15" s="382" t="s">
        <v>342</v>
      </c>
      <c r="B15" s="110">
        <v>0</v>
      </c>
      <c r="C15" s="110">
        <v>0</v>
      </c>
      <c r="D15" s="111">
        <f t="shared" si="0"/>
        <v>0</v>
      </c>
      <c r="E15" s="110">
        <v>0</v>
      </c>
      <c r="F15" s="110">
        <v>0</v>
      </c>
      <c r="G15" s="19">
        <f t="shared" si="1"/>
        <v>0</v>
      </c>
      <c r="H15" s="20">
        <f t="shared" si="2"/>
        <v>0</v>
      </c>
    </row>
    <row r="16" spans="1:13" s="1" customFormat="1" ht="20.100000000000001" customHeight="1" x14ac:dyDescent="0.2">
      <c r="A16" s="382" t="s">
        <v>343</v>
      </c>
      <c r="B16" s="112"/>
      <c r="C16" s="112"/>
      <c r="D16" s="112"/>
      <c r="E16" s="112"/>
      <c r="F16" s="112"/>
      <c r="G16" s="29"/>
      <c r="H16" s="29"/>
    </row>
    <row r="17" spans="1:8" s="1" customFormat="1" ht="20.100000000000001" customHeight="1" x14ac:dyDescent="0.2">
      <c r="A17" s="382" t="s">
        <v>344</v>
      </c>
      <c r="B17" s="110">
        <v>0</v>
      </c>
      <c r="C17" s="110">
        <v>0</v>
      </c>
      <c r="D17" s="111">
        <f t="shared" si="0"/>
        <v>0</v>
      </c>
      <c r="E17" s="110">
        <v>0</v>
      </c>
      <c r="F17" s="110">
        <v>0</v>
      </c>
      <c r="G17" s="19">
        <f t="shared" si="1"/>
        <v>0</v>
      </c>
      <c r="H17" s="20">
        <f t="shared" si="2"/>
        <v>0</v>
      </c>
    </row>
    <row r="18" spans="1:8" s="1" customFormat="1" ht="20.100000000000001" customHeight="1" x14ac:dyDescent="0.2">
      <c r="A18" s="382" t="s">
        <v>345</v>
      </c>
      <c r="B18" s="110">
        <v>0</v>
      </c>
      <c r="C18" s="110">
        <v>0</v>
      </c>
      <c r="D18" s="111">
        <f t="shared" si="0"/>
        <v>0</v>
      </c>
      <c r="E18" s="110">
        <v>0</v>
      </c>
      <c r="F18" s="110">
        <v>0</v>
      </c>
      <c r="G18" s="19">
        <f t="shared" si="1"/>
        <v>0</v>
      </c>
      <c r="H18" s="20">
        <f t="shared" si="2"/>
        <v>0</v>
      </c>
    </row>
    <row r="19" spans="1:8" s="1" customFormat="1" ht="20.100000000000001" customHeight="1" x14ac:dyDescent="0.2">
      <c r="A19" s="382" t="s">
        <v>346</v>
      </c>
      <c r="B19" s="110">
        <v>0</v>
      </c>
      <c r="C19" s="110">
        <v>0</v>
      </c>
      <c r="D19" s="111">
        <f t="shared" si="0"/>
        <v>0</v>
      </c>
      <c r="E19" s="110">
        <v>0</v>
      </c>
      <c r="F19" s="110">
        <v>0</v>
      </c>
      <c r="G19" s="19">
        <f t="shared" si="1"/>
        <v>0</v>
      </c>
      <c r="H19" s="20">
        <f t="shared" si="2"/>
        <v>0</v>
      </c>
    </row>
    <row r="20" spans="1:8" s="1" customFormat="1" ht="20.100000000000001" customHeight="1" x14ac:dyDescent="0.2">
      <c r="A20" s="382" t="s">
        <v>347</v>
      </c>
      <c r="B20" s="110">
        <v>0</v>
      </c>
      <c r="C20" s="110">
        <v>0</v>
      </c>
      <c r="D20" s="111">
        <f t="shared" si="0"/>
        <v>0</v>
      </c>
      <c r="E20" s="110">
        <v>16913</v>
      </c>
      <c r="F20" s="110">
        <v>0</v>
      </c>
      <c r="G20" s="19">
        <f t="shared" si="1"/>
        <v>16913</v>
      </c>
      <c r="H20" s="20">
        <f t="shared" si="2"/>
        <v>16913</v>
      </c>
    </row>
    <row r="21" spans="1:8" s="1" customFormat="1" ht="20.100000000000001" customHeight="1" x14ac:dyDescent="0.2">
      <c r="A21" s="382" t="s">
        <v>348</v>
      </c>
      <c r="B21" s="110">
        <v>32682</v>
      </c>
      <c r="C21" s="110">
        <v>0</v>
      </c>
      <c r="D21" s="111">
        <f t="shared" si="0"/>
        <v>32682</v>
      </c>
      <c r="E21" s="110">
        <v>0</v>
      </c>
      <c r="F21" s="110">
        <v>0</v>
      </c>
      <c r="G21" s="19">
        <f t="shared" si="1"/>
        <v>0</v>
      </c>
      <c r="H21" s="20">
        <f t="shared" si="2"/>
        <v>32682</v>
      </c>
    </row>
    <row r="22" spans="1:8" s="1" customFormat="1" ht="20.100000000000001" customHeight="1" x14ac:dyDescent="0.2">
      <c r="A22" s="382" t="s">
        <v>349</v>
      </c>
      <c r="B22" s="110">
        <v>0</v>
      </c>
      <c r="C22" s="110">
        <v>0</v>
      </c>
      <c r="D22" s="111">
        <f t="shared" si="0"/>
        <v>0</v>
      </c>
      <c r="E22" s="110">
        <v>0</v>
      </c>
      <c r="F22" s="110">
        <v>0</v>
      </c>
      <c r="G22" s="19">
        <f t="shared" si="1"/>
        <v>0</v>
      </c>
      <c r="H22" s="20">
        <f t="shared" si="2"/>
        <v>0</v>
      </c>
    </row>
    <row r="23" spans="1:8" s="1" customFormat="1" ht="20.100000000000001" customHeight="1" x14ac:dyDescent="0.2">
      <c r="A23" s="382" t="s">
        <v>350</v>
      </c>
      <c r="B23" s="110">
        <v>120156</v>
      </c>
      <c r="C23" s="110">
        <v>0</v>
      </c>
      <c r="D23" s="111">
        <f t="shared" si="0"/>
        <v>120156</v>
      </c>
      <c r="E23" s="110">
        <v>0</v>
      </c>
      <c r="F23" s="110">
        <v>0</v>
      </c>
      <c r="G23" s="19">
        <f t="shared" si="1"/>
        <v>0</v>
      </c>
      <c r="H23" s="20">
        <f t="shared" si="2"/>
        <v>120156</v>
      </c>
    </row>
    <row r="24" spans="1:8" s="1" customFormat="1" ht="20.100000000000001" customHeight="1" x14ac:dyDescent="0.2">
      <c r="A24" s="382" t="s">
        <v>351</v>
      </c>
      <c r="B24" s="110">
        <v>16341</v>
      </c>
      <c r="C24" s="110">
        <v>4520</v>
      </c>
      <c r="D24" s="111">
        <f t="shared" ref="D24" si="3">B24+C24</f>
        <v>20861</v>
      </c>
      <c r="E24" s="110">
        <v>9648</v>
      </c>
      <c r="F24" s="110">
        <v>0</v>
      </c>
      <c r="G24" s="19">
        <f t="shared" ref="G24" si="4">E24+F24</f>
        <v>9648</v>
      </c>
      <c r="H24" s="20">
        <f t="shared" ref="H24" si="5">SUM(D24,G24)</f>
        <v>30509</v>
      </c>
    </row>
    <row r="25" spans="1:8" s="1" customFormat="1" ht="20.100000000000001" customHeight="1" x14ac:dyDescent="0.2">
      <c r="A25" s="382" t="s">
        <v>352</v>
      </c>
      <c r="B25" s="110">
        <v>0</v>
      </c>
      <c r="C25" s="110">
        <v>0</v>
      </c>
      <c r="D25" s="111">
        <f t="shared" si="0"/>
        <v>0</v>
      </c>
      <c r="E25" s="110">
        <v>0</v>
      </c>
      <c r="F25" s="110">
        <v>16480</v>
      </c>
      <c r="G25" s="19">
        <f t="shared" si="1"/>
        <v>16480</v>
      </c>
      <c r="H25" s="20">
        <f t="shared" si="2"/>
        <v>16480</v>
      </c>
    </row>
    <row r="26" spans="1:8" s="1" customFormat="1" ht="20.100000000000001" customHeight="1" thickBot="1" x14ac:dyDescent="0.25">
      <c r="A26" s="16" t="s">
        <v>157</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513"/>
      <c r="B27" s="514"/>
      <c r="C27" s="514"/>
      <c r="D27" s="514"/>
      <c r="E27" s="514"/>
      <c r="F27" s="514"/>
      <c r="G27" s="514"/>
      <c r="H27" s="514"/>
    </row>
    <row r="28" spans="1:8" s="1" customFormat="1" ht="20.100000000000001" customHeight="1" x14ac:dyDescent="0.2">
      <c r="A28" s="510" t="s">
        <v>353</v>
      </c>
      <c r="B28" s="511"/>
      <c r="C28" s="511"/>
      <c r="D28" s="511"/>
      <c r="E28" s="511"/>
      <c r="F28" s="511"/>
      <c r="G28" s="511"/>
      <c r="H28" s="512"/>
    </row>
    <row r="29" spans="1:8" s="1" customFormat="1" ht="20.100000000000001" customHeight="1" x14ac:dyDescent="0.2">
      <c r="A29" s="518" t="s">
        <v>333</v>
      </c>
      <c r="B29" s="517" t="s">
        <v>334</v>
      </c>
      <c r="C29" s="517"/>
      <c r="D29" s="517"/>
      <c r="E29" s="517" t="s">
        <v>335</v>
      </c>
      <c r="F29" s="517"/>
      <c r="G29" s="517"/>
      <c r="H29" s="509" t="s">
        <v>157</v>
      </c>
    </row>
    <row r="30" spans="1:8" s="1" customFormat="1" ht="20.100000000000001" customHeight="1" thickBot="1" x14ac:dyDescent="0.25">
      <c r="A30" s="519"/>
      <c r="B30" s="381" t="s">
        <v>336</v>
      </c>
      <c r="C30" s="381" t="s">
        <v>337</v>
      </c>
      <c r="D30" s="381" t="s">
        <v>157</v>
      </c>
      <c r="E30" s="381" t="s">
        <v>336</v>
      </c>
      <c r="F30" s="381" t="s">
        <v>337</v>
      </c>
      <c r="G30" s="381" t="s">
        <v>157</v>
      </c>
      <c r="H30" s="552"/>
    </row>
    <row r="31" spans="1:8" s="1" customFormat="1" ht="20.100000000000001" customHeight="1" x14ac:dyDescent="0.2">
      <c r="A31" s="21" t="s">
        <v>147</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82" t="s">
        <v>338</v>
      </c>
      <c r="B32" s="13">
        <v>0</v>
      </c>
      <c r="C32" s="13">
        <v>0</v>
      </c>
      <c r="D32" s="14">
        <f>B32+C32</f>
        <v>0</v>
      </c>
      <c r="E32" s="13">
        <v>0</v>
      </c>
      <c r="F32" s="13">
        <v>0</v>
      </c>
      <c r="G32" s="18">
        <f>E32+F32</f>
        <v>0</v>
      </c>
      <c r="H32" s="20">
        <f>SUM(D32,G32)</f>
        <v>0</v>
      </c>
    </row>
    <row r="33" spans="1:8" s="1" customFormat="1" ht="20.100000000000001" customHeight="1" x14ac:dyDescent="0.2">
      <c r="A33" s="382" t="s">
        <v>339</v>
      </c>
      <c r="B33" s="110">
        <v>0</v>
      </c>
      <c r="C33" s="110">
        <v>0</v>
      </c>
      <c r="D33" s="111">
        <f t="shared" ref="D33:D34" si="7">B33+C33</f>
        <v>0</v>
      </c>
      <c r="E33" s="110">
        <v>920700</v>
      </c>
      <c r="F33" s="110">
        <v>0</v>
      </c>
      <c r="G33" s="19">
        <f t="shared" ref="G33:G34" si="8">E33+F33</f>
        <v>920700</v>
      </c>
      <c r="H33" s="20">
        <f t="shared" ref="H33:H34" si="9">SUM(D33,G33)</f>
        <v>920700</v>
      </c>
    </row>
    <row r="34" spans="1:8" s="1" customFormat="1" ht="20.100000000000001" customHeight="1" x14ac:dyDescent="0.2">
      <c r="A34" s="382" t="s">
        <v>340</v>
      </c>
      <c r="B34" s="110">
        <v>0</v>
      </c>
      <c r="C34" s="110">
        <v>0</v>
      </c>
      <c r="D34" s="111">
        <f t="shared" si="7"/>
        <v>0</v>
      </c>
      <c r="E34" s="110">
        <v>19800</v>
      </c>
      <c r="F34" s="110">
        <v>0</v>
      </c>
      <c r="G34" s="19">
        <f t="shared" si="8"/>
        <v>19800</v>
      </c>
      <c r="H34" s="20">
        <f t="shared" si="9"/>
        <v>19800</v>
      </c>
    </row>
    <row r="35" spans="1:8" s="1" customFormat="1" ht="20.100000000000001" customHeight="1" x14ac:dyDescent="0.2">
      <c r="A35" s="28" t="s">
        <v>341</v>
      </c>
      <c r="B35" s="112"/>
      <c r="C35" s="112"/>
      <c r="D35" s="112"/>
      <c r="E35" s="112"/>
      <c r="F35" s="112"/>
      <c r="G35" s="29"/>
      <c r="H35" s="29"/>
    </row>
    <row r="36" spans="1:8" s="1" customFormat="1" ht="20.100000000000001" customHeight="1" x14ac:dyDescent="0.2">
      <c r="A36" s="382" t="s">
        <v>342</v>
      </c>
      <c r="B36" s="110">
        <v>0</v>
      </c>
      <c r="C36" s="110">
        <v>0</v>
      </c>
      <c r="D36" s="111">
        <f t="shared" ref="D36" si="10">B36+C36</f>
        <v>0</v>
      </c>
      <c r="E36" s="110">
        <v>0</v>
      </c>
      <c r="F36" s="110">
        <v>0</v>
      </c>
      <c r="G36" s="19">
        <f t="shared" ref="G36" si="11">E36+F36</f>
        <v>0</v>
      </c>
      <c r="H36" s="20">
        <f t="shared" ref="H36" si="12">SUM(D36,G36)</f>
        <v>0</v>
      </c>
    </row>
    <row r="37" spans="1:8" s="1" customFormat="1" ht="20.100000000000001" customHeight="1" x14ac:dyDescent="0.2">
      <c r="A37" s="382" t="s">
        <v>343</v>
      </c>
      <c r="B37" s="110">
        <v>0</v>
      </c>
      <c r="C37" s="110">
        <v>0</v>
      </c>
      <c r="D37" s="111">
        <f t="shared" ref="D37" si="13">B37+C37</f>
        <v>0</v>
      </c>
      <c r="E37" s="110">
        <v>0</v>
      </c>
      <c r="F37" s="110">
        <v>0</v>
      </c>
      <c r="G37" s="19">
        <f t="shared" ref="G37" si="14">E37+F37</f>
        <v>0</v>
      </c>
      <c r="H37" s="20">
        <f t="shared" ref="H37" si="15">SUM(D37,G37)</f>
        <v>0</v>
      </c>
    </row>
    <row r="38" spans="1:8" s="1" customFormat="1" ht="20.100000000000001" customHeight="1" x14ac:dyDescent="0.2">
      <c r="A38" s="382" t="s">
        <v>344</v>
      </c>
      <c r="B38" s="110">
        <v>0</v>
      </c>
      <c r="C38" s="110">
        <v>0</v>
      </c>
      <c r="D38" s="111">
        <f t="shared" ref="D38:D46" si="16">B38+C38</f>
        <v>0</v>
      </c>
      <c r="E38" s="110">
        <v>0</v>
      </c>
      <c r="F38" s="110">
        <v>0</v>
      </c>
      <c r="G38" s="19">
        <f t="shared" ref="G38:G46" si="17">E38+F38</f>
        <v>0</v>
      </c>
      <c r="H38" s="20">
        <f t="shared" ref="H38:H46" si="18">SUM(D38,G38)</f>
        <v>0</v>
      </c>
    </row>
    <row r="39" spans="1:8" s="1" customFormat="1" ht="20.100000000000001" customHeight="1" x14ac:dyDescent="0.2">
      <c r="A39" s="382" t="s">
        <v>345</v>
      </c>
      <c r="B39" s="110">
        <v>0</v>
      </c>
      <c r="C39" s="110">
        <v>0</v>
      </c>
      <c r="D39" s="111">
        <f t="shared" si="16"/>
        <v>0</v>
      </c>
      <c r="E39" s="110">
        <v>0</v>
      </c>
      <c r="F39" s="110">
        <v>0</v>
      </c>
      <c r="G39" s="19">
        <f t="shared" si="17"/>
        <v>0</v>
      </c>
      <c r="H39" s="20">
        <f t="shared" si="18"/>
        <v>0</v>
      </c>
    </row>
    <row r="40" spans="1:8" s="1" customFormat="1" ht="20.100000000000001" customHeight="1" x14ac:dyDescent="0.2">
      <c r="A40" s="382" t="s">
        <v>346</v>
      </c>
      <c r="B40" s="110">
        <v>0</v>
      </c>
      <c r="C40" s="110">
        <v>0</v>
      </c>
      <c r="D40" s="111">
        <f t="shared" si="16"/>
        <v>0</v>
      </c>
      <c r="E40" s="110">
        <v>0</v>
      </c>
      <c r="F40" s="110">
        <v>0</v>
      </c>
      <c r="G40" s="19">
        <f t="shared" si="17"/>
        <v>0</v>
      </c>
      <c r="H40" s="20">
        <f t="shared" si="18"/>
        <v>0</v>
      </c>
    </row>
    <row r="41" spans="1:8" s="1" customFormat="1" ht="20.100000000000001" customHeight="1" x14ac:dyDescent="0.2">
      <c r="A41" s="382" t="s">
        <v>347</v>
      </c>
      <c r="B41" s="110">
        <v>0</v>
      </c>
      <c r="C41" s="110">
        <v>0</v>
      </c>
      <c r="D41" s="111">
        <f t="shared" si="16"/>
        <v>0</v>
      </c>
      <c r="E41" s="110">
        <v>0</v>
      </c>
      <c r="F41" s="110">
        <v>0</v>
      </c>
      <c r="G41" s="19">
        <f t="shared" si="17"/>
        <v>0</v>
      </c>
      <c r="H41" s="20">
        <f t="shared" si="18"/>
        <v>0</v>
      </c>
    </row>
    <row r="42" spans="1:8" s="1" customFormat="1" ht="20.100000000000001" customHeight="1" x14ac:dyDescent="0.2">
      <c r="A42" s="382" t="s">
        <v>348</v>
      </c>
      <c r="B42" s="110">
        <v>42885</v>
      </c>
      <c r="C42" s="110">
        <v>0</v>
      </c>
      <c r="D42" s="111">
        <f t="shared" si="16"/>
        <v>42885</v>
      </c>
      <c r="E42" s="110">
        <v>0</v>
      </c>
      <c r="F42" s="110">
        <v>0</v>
      </c>
      <c r="G42" s="19">
        <f t="shared" si="17"/>
        <v>0</v>
      </c>
      <c r="H42" s="20">
        <f t="shared" si="18"/>
        <v>42885</v>
      </c>
    </row>
    <row r="43" spans="1:8" s="1" customFormat="1" ht="20.100000000000001" customHeight="1" x14ac:dyDescent="0.2">
      <c r="A43" s="382" t="s">
        <v>349</v>
      </c>
      <c r="B43" s="110">
        <v>0</v>
      </c>
      <c r="C43" s="110">
        <v>0</v>
      </c>
      <c r="D43" s="111">
        <f t="shared" si="16"/>
        <v>0</v>
      </c>
      <c r="E43" s="110">
        <v>0</v>
      </c>
      <c r="F43" s="110">
        <v>0</v>
      </c>
      <c r="G43" s="19">
        <f t="shared" si="17"/>
        <v>0</v>
      </c>
      <c r="H43" s="20">
        <f t="shared" si="18"/>
        <v>0</v>
      </c>
    </row>
    <row r="44" spans="1:8" s="1" customFormat="1" ht="20.100000000000001" customHeight="1" x14ac:dyDescent="0.2">
      <c r="A44" s="382" t="s">
        <v>350</v>
      </c>
      <c r="B44" s="110">
        <v>90301</v>
      </c>
      <c r="C44" s="110">
        <v>0</v>
      </c>
      <c r="D44" s="111">
        <f t="shared" si="16"/>
        <v>90301</v>
      </c>
      <c r="E44" s="110">
        <v>0</v>
      </c>
      <c r="F44" s="110">
        <v>0</v>
      </c>
      <c r="G44" s="19">
        <f t="shared" si="17"/>
        <v>0</v>
      </c>
      <c r="H44" s="20">
        <f t="shared" si="18"/>
        <v>90301</v>
      </c>
    </row>
    <row r="45" spans="1:8" s="1" customFormat="1" ht="20.100000000000001" customHeight="1" x14ac:dyDescent="0.2">
      <c r="A45" s="382" t="s">
        <v>351</v>
      </c>
      <c r="B45" s="110">
        <v>10536</v>
      </c>
      <c r="C45" s="110">
        <v>0</v>
      </c>
      <c r="D45" s="111">
        <f t="shared" si="16"/>
        <v>10536</v>
      </c>
      <c r="E45" s="110">
        <v>2517</v>
      </c>
      <c r="F45" s="110">
        <v>0</v>
      </c>
      <c r="G45" s="19">
        <f t="shared" si="17"/>
        <v>2517</v>
      </c>
      <c r="H45" s="20">
        <f t="shared" si="18"/>
        <v>13053</v>
      </c>
    </row>
    <row r="46" spans="1:8" s="1" customFormat="1" ht="20.100000000000001" customHeight="1" x14ac:dyDescent="0.2">
      <c r="A46" s="382" t="s">
        <v>352</v>
      </c>
      <c r="B46" s="110">
        <v>0</v>
      </c>
      <c r="C46" s="110">
        <v>0</v>
      </c>
      <c r="D46" s="111">
        <f t="shared" si="16"/>
        <v>0</v>
      </c>
      <c r="E46" s="110">
        <v>0</v>
      </c>
      <c r="F46" s="110">
        <v>0</v>
      </c>
      <c r="G46" s="19">
        <f t="shared" si="17"/>
        <v>0</v>
      </c>
      <c r="H46" s="20">
        <f t="shared" si="18"/>
        <v>0</v>
      </c>
    </row>
    <row r="47" spans="1:8" s="1" customFormat="1" ht="20.100000000000001" customHeight="1" thickBot="1" x14ac:dyDescent="0.25">
      <c r="A47" s="16" t="s">
        <v>157</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513"/>
      <c r="B48" s="514"/>
      <c r="C48" s="514"/>
      <c r="D48" s="514"/>
      <c r="E48" s="514"/>
      <c r="F48" s="514"/>
      <c r="G48" s="514"/>
      <c r="H48" s="514"/>
    </row>
    <row r="49" spans="1:8" s="1" customFormat="1" ht="20.100000000000001" customHeight="1" x14ac:dyDescent="0.2">
      <c r="A49" s="510" t="s">
        <v>354</v>
      </c>
      <c r="B49" s="511"/>
      <c r="C49" s="511"/>
      <c r="D49" s="511"/>
      <c r="E49" s="511"/>
      <c r="F49" s="511"/>
      <c r="G49" s="511"/>
      <c r="H49" s="512"/>
    </row>
    <row r="50" spans="1:8" s="1" customFormat="1" ht="20.100000000000001" customHeight="1" x14ac:dyDescent="0.2">
      <c r="A50" s="518" t="s">
        <v>333</v>
      </c>
      <c r="B50" s="517" t="s">
        <v>334</v>
      </c>
      <c r="C50" s="517"/>
      <c r="D50" s="517"/>
      <c r="E50" s="517" t="s">
        <v>335</v>
      </c>
      <c r="F50" s="517"/>
      <c r="G50" s="517"/>
      <c r="H50" s="509" t="s">
        <v>157</v>
      </c>
    </row>
    <row r="51" spans="1:8" s="1" customFormat="1" ht="20.100000000000001" customHeight="1" thickBot="1" x14ac:dyDescent="0.25">
      <c r="A51" s="519"/>
      <c r="B51" s="381" t="s">
        <v>336</v>
      </c>
      <c r="C51" s="381" t="s">
        <v>337</v>
      </c>
      <c r="D51" s="381" t="s">
        <v>157</v>
      </c>
      <c r="E51" s="381" t="s">
        <v>336</v>
      </c>
      <c r="F51" s="381" t="s">
        <v>337</v>
      </c>
      <c r="G51" s="381" t="s">
        <v>157</v>
      </c>
      <c r="H51" s="509"/>
    </row>
    <row r="52" spans="1:8" s="1" customFormat="1" ht="20.100000000000001" customHeight="1" x14ac:dyDescent="0.2">
      <c r="A52" s="21" t="s">
        <v>147</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82" t="s">
        <v>338</v>
      </c>
      <c r="B53" s="13">
        <v>0</v>
      </c>
      <c r="C53" s="13">
        <v>0</v>
      </c>
      <c r="D53" s="14">
        <f>B53+C53</f>
        <v>0</v>
      </c>
      <c r="E53" s="13">
        <v>0</v>
      </c>
      <c r="F53" s="13">
        <v>0</v>
      </c>
      <c r="G53" s="18">
        <f>E53+F53</f>
        <v>0</v>
      </c>
      <c r="H53" s="20">
        <f>SUM(D53,G53)</f>
        <v>0</v>
      </c>
    </row>
    <row r="54" spans="1:8" s="1" customFormat="1" ht="20.100000000000001" customHeight="1" x14ac:dyDescent="0.2">
      <c r="A54" s="382" t="s">
        <v>339</v>
      </c>
      <c r="B54" s="110">
        <v>0</v>
      </c>
      <c r="C54" s="110">
        <v>0</v>
      </c>
      <c r="D54" s="111">
        <f t="shared" ref="D54:D55" si="25">B54+C54</f>
        <v>0</v>
      </c>
      <c r="E54" s="110">
        <v>957528</v>
      </c>
      <c r="F54" s="110">
        <v>0</v>
      </c>
      <c r="G54" s="19">
        <f t="shared" ref="G54:G55" si="26">E54+F54</f>
        <v>957528</v>
      </c>
      <c r="H54" s="20">
        <f t="shared" ref="H54:H55" si="27">SUM(D54,G54)</f>
        <v>957528</v>
      </c>
    </row>
    <row r="55" spans="1:8" s="1" customFormat="1" ht="20.100000000000001" customHeight="1" x14ac:dyDescent="0.2">
      <c r="A55" s="382" t="s">
        <v>340</v>
      </c>
      <c r="B55" s="110">
        <v>0</v>
      </c>
      <c r="C55" s="110">
        <v>0</v>
      </c>
      <c r="D55" s="111">
        <f t="shared" si="25"/>
        <v>0</v>
      </c>
      <c r="E55" s="110">
        <v>20592</v>
      </c>
      <c r="F55" s="110">
        <v>0</v>
      </c>
      <c r="G55" s="19">
        <f t="shared" si="26"/>
        <v>20592</v>
      </c>
      <c r="H55" s="20">
        <f t="shared" si="27"/>
        <v>20592</v>
      </c>
    </row>
    <row r="56" spans="1:8" s="1" customFormat="1" ht="20.100000000000001" customHeight="1" x14ac:dyDescent="0.2">
      <c r="A56" s="28" t="s">
        <v>341</v>
      </c>
      <c r="B56" s="110">
        <v>0</v>
      </c>
      <c r="C56" s="110">
        <v>0</v>
      </c>
      <c r="D56" s="111">
        <f t="shared" ref="D56" si="28">B56+C56</f>
        <v>0</v>
      </c>
      <c r="E56" s="110">
        <v>0</v>
      </c>
      <c r="F56" s="110">
        <v>0</v>
      </c>
      <c r="G56" s="19">
        <f t="shared" ref="G56" si="29">E56+F56</f>
        <v>0</v>
      </c>
      <c r="H56" s="20">
        <f t="shared" ref="H56" si="30">SUM(D56,G56)</f>
        <v>0</v>
      </c>
    </row>
    <row r="57" spans="1:8" s="1" customFormat="1" ht="20.100000000000001" customHeight="1" x14ac:dyDescent="0.2">
      <c r="A57" s="382" t="s">
        <v>342</v>
      </c>
      <c r="B57" s="110">
        <v>0</v>
      </c>
      <c r="C57" s="110">
        <v>0</v>
      </c>
      <c r="D57" s="111">
        <f t="shared" ref="D57:D67" si="31">B57+C57</f>
        <v>0</v>
      </c>
      <c r="E57" s="110">
        <v>0</v>
      </c>
      <c r="F57" s="110">
        <v>0</v>
      </c>
      <c r="G57" s="19">
        <f t="shared" ref="G57:G67" si="32">E57+F57</f>
        <v>0</v>
      </c>
      <c r="H57" s="20">
        <f t="shared" ref="H57:H67" si="33">SUM(D57,G57)</f>
        <v>0</v>
      </c>
    </row>
    <row r="58" spans="1:8" s="1" customFormat="1" ht="20.100000000000001" customHeight="1" x14ac:dyDescent="0.2">
      <c r="A58" s="382" t="s">
        <v>343</v>
      </c>
      <c r="B58" s="110">
        <v>0</v>
      </c>
      <c r="C58" s="110">
        <v>0</v>
      </c>
      <c r="D58" s="111">
        <f t="shared" si="31"/>
        <v>0</v>
      </c>
      <c r="E58" s="110">
        <v>0</v>
      </c>
      <c r="F58" s="110">
        <v>0</v>
      </c>
      <c r="G58" s="19">
        <f t="shared" si="32"/>
        <v>0</v>
      </c>
      <c r="H58" s="20">
        <f t="shared" si="33"/>
        <v>0</v>
      </c>
    </row>
    <row r="59" spans="1:8" s="1" customFormat="1" ht="20.100000000000001" customHeight="1" x14ac:dyDescent="0.2">
      <c r="A59" s="382" t="s">
        <v>344</v>
      </c>
      <c r="B59" s="110">
        <v>0</v>
      </c>
      <c r="C59" s="110">
        <v>0</v>
      </c>
      <c r="D59" s="111">
        <f t="shared" si="31"/>
        <v>0</v>
      </c>
      <c r="E59" s="110">
        <v>0</v>
      </c>
      <c r="F59" s="110">
        <v>0</v>
      </c>
      <c r="G59" s="19">
        <f t="shared" si="32"/>
        <v>0</v>
      </c>
      <c r="H59" s="20">
        <f t="shared" si="33"/>
        <v>0</v>
      </c>
    </row>
    <row r="60" spans="1:8" s="1" customFormat="1" ht="20.100000000000001" customHeight="1" x14ac:dyDescent="0.2">
      <c r="A60" s="382" t="s">
        <v>345</v>
      </c>
      <c r="B60" s="110">
        <v>0</v>
      </c>
      <c r="C60" s="110">
        <v>0</v>
      </c>
      <c r="D60" s="111">
        <f t="shared" si="31"/>
        <v>0</v>
      </c>
      <c r="E60" s="110">
        <v>0</v>
      </c>
      <c r="F60" s="110">
        <v>0</v>
      </c>
      <c r="G60" s="19">
        <f t="shared" si="32"/>
        <v>0</v>
      </c>
      <c r="H60" s="20">
        <f t="shared" si="33"/>
        <v>0</v>
      </c>
    </row>
    <row r="61" spans="1:8" s="1" customFormat="1" ht="20.100000000000001" customHeight="1" x14ac:dyDescent="0.2">
      <c r="A61" s="382" t="s">
        <v>346</v>
      </c>
      <c r="B61" s="110">
        <v>0</v>
      </c>
      <c r="C61" s="110">
        <v>0</v>
      </c>
      <c r="D61" s="111">
        <f t="shared" si="31"/>
        <v>0</v>
      </c>
      <c r="E61" s="110">
        <v>0</v>
      </c>
      <c r="F61" s="110">
        <v>0</v>
      </c>
      <c r="G61" s="19">
        <f t="shared" si="32"/>
        <v>0</v>
      </c>
      <c r="H61" s="20">
        <f t="shared" si="33"/>
        <v>0</v>
      </c>
    </row>
    <row r="62" spans="1:8" s="1" customFormat="1" ht="20.100000000000001" customHeight="1" x14ac:dyDescent="0.2">
      <c r="A62" s="382" t="s">
        <v>347</v>
      </c>
      <c r="B62" s="110">
        <v>0</v>
      </c>
      <c r="C62" s="110">
        <v>0</v>
      </c>
      <c r="D62" s="111">
        <f t="shared" si="31"/>
        <v>0</v>
      </c>
      <c r="E62" s="110">
        <v>0</v>
      </c>
      <c r="F62" s="110">
        <v>0</v>
      </c>
      <c r="G62" s="19">
        <f t="shared" si="32"/>
        <v>0</v>
      </c>
      <c r="H62" s="20">
        <f t="shared" si="33"/>
        <v>0</v>
      </c>
    </row>
    <row r="63" spans="1:8" s="1" customFormat="1" ht="20.100000000000001" customHeight="1" x14ac:dyDescent="0.2">
      <c r="A63" s="382" t="s">
        <v>348</v>
      </c>
      <c r="B63" s="110">
        <v>44600</v>
      </c>
      <c r="C63" s="110">
        <v>0</v>
      </c>
      <c r="D63" s="111">
        <f t="shared" si="31"/>
        <v>44600</v>
      </c>
      <c r="E63" s="110">
        <v>0</v>
      </c>
      <c r="F63" s="110">
        <v>0</v>
      </c>
      <c r="G63" s="19">
        <f t="shared" si="32"/>
        <v>0</v>
      </c>
      <c r="H63" s="20">
        <f t="shared" si="33"/>
        <v>44600</v>
      </c>
    </row>
    <row r="64" spans="1:8" s="1" customFormat="1" ht="20.100000000000001" customHeight="1" x14ac:dyDescent="0.2">
      <c r="A64" s="382" t="s">
        <v>349</v>
      </c>
      <c r="B64" s="110">
        <v>0</v>
      </c>
      <c r="C64" s="110">
        <v>0</v>
      </c>
      <c r="D64" s="111">
        <f t="shared" si="31"/>
        <v>0</v>
      </c>
      <c r="E64" s="110">
        <v>0</v>
      </c>
      <c r="F64" s="110">
        <v>0</v>
      </c>
      <c r="G64" s="19">
        <f t="shared" si="32"/>
        <v>0</v>
      </c>
      <c r="H64" s="20">
        <f t="shared" si="33"/>
        <v>0</v>
      </c>
    </row>
    <row r="65" spans="1:8" s="1" customFormat="1" ht="20.100000000000001" customHeight="1" x14ac:dyDescent="0.2">
      <c r="A65" s="382" t="s">
        <v>350</v>
      </c>
      <c r="B65" s="110">
        <v>93913</v>
      </c>
      <c r="C65" s="110">
        <v>0</v>
      </c>
      <c r="D65" s="111">
        <f t="shared" si="31"/>
        <v>93913</v>
      </c>
      <c r="E65" s="110">
        <v>0</v>
      </c>
      <c r="F65" s="110">
        <v>0</v>
      </c>
      <c r="G65" s="19">
        <f t="shared" si="32"/>
        <v>0</v>
      </c>
      <c r="H65" s="20">
        <f t="shared" si="33"/>
        <v>93913</v>
      </c>
    </row>
    <row r="66" spans="1:8" s="1" customFormat="1" ht="20.100000000000001" customHeight="1" x14ac:dyDescent="0.2">
      <c r="A66" s="382" t="s">
        <v>351</v>
      </c>
      <c r="B66" s="110">
        <v>10957</v>
      </c>
      <c r="C66" s="110">
        <v>0</v>
      </c>
      <c r="D66" s="111">
        <f t="shared" si="31"/>
        <v>10957</v>
      </c>
      <c r="E66" s="110">
        <v>2618</v>
      </c>
      <c r="F66" s="110">
        <v>0</v>
      </c>
      <c r="G66" s="19">
        <f t="shared" si="32"/>
        <v>2618</v>
      </c>
      <c r="H66" s="20">
        <f t="shared" si="33"/>
        <v>13575</v>
      </c>
    </row>
    <row r="67" spans="1:8" s="1" customFormat="1" ht="20.100000000000001" customHeight="1" x14ac:dyDescent="0.2">
      <c r="A67" s="382" t="s">
        <v>352</v>
      </c>
      <c r="B67" s="110">
        <v>0</v>
      </c>
      <c r="C67" s="110">
        <v>0</v>
      </c>
      <c r="D67" s="111">
        <f t="shared" si="31"/>
        <v>0</v>
      </c>
      <c r="E67" s="110">
        <v>0</v>
      </c>
      <c r="F67" s="110">
        <v>0</v>
      </c>
      <c r="G67" s="19">
        <f t="shared" si="32"/>
        <v>0</v>
      </c>
      <c r="H67" s="20">
        <f t="shared" si="33"/>
        <v>0</v>
      </c>
    </row>
    <row r="68" spans="1:8" s="1" customFormat="1" ht="20.100000000000001" customHeight="1" thickBot="1" x14ac:dyDescent="0.25">
      <c r="A68" s="16" t="s">
        <v>157</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513"/>
      <c r="B69" s="514"/>
      <c r="C69" s="514"/>
      <c r="D69" s="514"/>
      <c r="E69" s="514"/>
      <c r="F69" s="514"/>
      <c r="G69" s="514"/>
      <c r="H69" s="514"/>
    </row>
    <row r="70" spans="1:8" s="1" customFormat="1" ht="20.100000000000001" customHeight="1" x14ac:dyDescent="0.2">
      <c r="A70" s="510" t="s">
        <v>355</v>
      </c>
      <c r="B70" s="511"/>
      <c r="C70" s="511"/>
      <c r="D70" s="511"/>
      <c r="E70" s="511"/>
      <c r="F70" s="511"/>
      <c r="G70" s="511"/>
      <c r="H70" s="512"/>
    </row>
    <row r="71" spans="1:8" s="1" customFormat="1" ht="20.100000000000001" customHeight="1" x14ac:dyDescent="0.2">
      <c r="A71" s="518" t="s">
        <v>333</v>
      </c>
      <c r="B71" s="517" t="s">
        <v>334</v>
      </c>
      <c r="C71" s="517"/>
      <c r="D71" s="517"/>
      <c r="E71" s="517" t="s">
        <v>335</v>
      </c>
      <c r="F71" s="517"/>
      <c r="G71" s="517"/>
      <c r="H71" s="509" t="s">
        <v>157</v>
      </c>
    </row>
    <row r="72" spans="1:8" s="1" customFormat="1" ht="20.100000000000001" customHeight="1" thickBot="1" x14ac:dyDescent="0.25">
      <c r="A72" s="519"/>
      <c r="B72" s="381" t="s">
        <v>336</v>
      </c>
      <c r="C72" s="381" t="s">
        <v>337</v>
      </c>
      <c r="D72" s="381" t="s">
        <v>157</v>
      </c>
      <c r="E72" s="381" t="s">
        <v>336</v>
      </c>
      <c r="F72" s="381" t="s">
        <v>337</v>
      </c>
      <c r="G72" s="381" t="s">
        <v>157</v>
      </c>
      <c r="H72" s="509"/>
    </row>
    <row r="73" spans="1:8" s="1" customFormat="1" ht="20.100000000000001" customHeight="1" x14ac:dyDescent="0.2">
      <c r="A73" s="21" t="s">
        <v>147</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82" t="s">
        <v>338</v>
      </c>
      <c r="B74" s="13">
        <v>0</v>
      </c>
      <c r="C74" s="13">
        <v>0</v>
      </c>
      <c r="D74" s="14">
        <f>B74+C74</f>
        <v>0</v>
      </c>
      <c r="E74" s="13">
        <v>0</v>
      </c>
      <c r="F74" s="13">
        <v>0</v>
      </c>
      <c r="G74" s="18">
        <f>E74+F74</f>
        <v>0</v>
      </c>
      <c r="H74" s="20">
        <f>SUM(D74,G74)</f>
        <v>0</v>
      </c>
    </row>
    <row r="75" spans="1:8" s="1" customFormat="1" ht="20.100000000000001" customHeight="1" x14ac:dyDescent="0.2">
      <c r="A75" s="382" t="s">
        <v>339</v>
      </c>
      <c r="B75" s="110">
        <v>0</v>
      </c>
      <c r="C75" s="110">
        <v>0</v>
      </c>
      <c r="D75" s="111">
        <f t="shared" ref="D75:D88" si="40">B75+C75</f>
        <v>0</v>
      </c>
      <c r="E75" s="110">
        <v>995829</v>
      </c>
      <c r="F75" s="110">
        <v>0</v>
      </c>
      <c r="G75" s="19">
        <f t="shared" ref="G75:G88" si="41">E75+F75</f>
        <v>995829</v>
      </c>
      <c r="H75" s="20">
        <f t="shared" ref="H75:H88" si="42">SUM(D75,G75)</f>
        <v>995829</v>
      </c>
    </row>
    <row r="76" spans="1:8" s="1" customFormat="1" ht="20.100000000000001" customHeight="1" x14ac:dyDescent="0.2">
      <c r="A76" s="382" t="s">
        <v>340</v>
      </c>
      <c r="B76" s="110">
        <v>0</v>
      </c>
      <c r="C76" s="110">
        <v>0</v>
      </c>
      <c r="D76" s="111">
        <f t="shared" si="40"/>
        <v>0</v>
      </c>
      <c r="E76" s="110">
        <v>21416</v>
      </c>
      <c r="F76" s="110">
        <v>0</v>
      </c>
      <c r="G76" s="19">
        <f t="shared" si="41"/>
        <v>21416</v>
      </c>
      <c r="H76" s="20">
        <f t="shared" si="42"/>
        <v>21416</v>
      </c>
    </row>
    <row r="77" spans="1:8" s="1" customFormat="1" ht="20.100000000000001" customHeight="1" x14ac:dyDescent="0.2">
      <c r="A77" s="28" t="s">
        <v>341</v>
      </c>
      <c r="B77" s="110">
        <v>0</v>
      </c>
      <c r="C77" s="110">
        <v>0</v>
      </c>
      <c r="D77" s="111">
        <f t="shared" si="40"/>
        <v>0</v>
      </c>
      <c r="E77" s="110">
        <v>0</v>
      </c>
      <c r="F77" s="110">
        <v>0</v>
      </c>
      <c r="G77" s="19">
        <f t="shared" si="41"/>
        <v>0</v>
      </c>
      <c r="H77" s="20">
        <f t="shared" si="42"/>
        <v>0</v>
      </c>
    </row>
    <row r="78" spans="1:8" s="1" customFormat="1" ht="20.100000000000001" customHeight="1" x14ac:dyDescent="0.2">
      <c r="A78" s="382" t="s">
        <v>342</v>
      </c>
      <c r="B78" s="110">
        <v>0</v>
      </c>
      <c r="C78" s="110">
        <v>0</v>
      </c>
      <c r="D78" s="111">
        <f t="shared" si="40"/>
        <v>0</v>
      </c>
      <c r="E78" s="110">
        <v>0</v>
      </c>
      <c r="F78" s="110">
        <v>0</v>
      </c>
      <c r="G78" s="19">
        <f t="shared" si="41"/>
        <v>0</v>
      </c>
      <c r="H78" s="20">
        <f t="shared" si="42"/>
        <v>0</v>
      </c>
    </row>
    <row r="79" spans="1:8" s="1" customFormat="1" ht="20.100000000000001" customHeight="1" x14ac:dyDescent="0.2">
      <c r="A79" s="382" t="s">
        <v>343</v>
      </c>
      <c r="B79" s="110">
        <v>0</v>
      </c>
      <c r="C79" s="110">
        <v>0</v>
      </c>
      <c r="D79" s="111">
        <f t="shared" si="40"/>
        <v>0</v>
      </c>
      <c r="E79" s="110">
        <v>0</v>
      </c>
      <c r="F79" s="110">
        <v>0</v>
      </c>
      <c r="G79" s="19">
        <f t="shared" si="41"/>
        <v>0</v>
      </c>
      <c r="H79" s="20">
        <f t="shared" si="42"/>
        <v>0</v>
      </c>
    </row>
    <row r="80" spans="1:8" s="1" customFormat="1" ht="20.100000000000001" customHeight="1" x14ac:dyDescent="0.2">
      <c r="A80" s="382" t="s">
        <v>344</v>
      </c>
      <c r="B80" s="110">
        <v>0</v>
      </c>
      <c r="C80" s="110">
        <v>0</v>
      </c>
      <c r="D80" s="111">
        <f t="shared" si="40"/>
        <v>0</v>
      </c>
      <c r="E80" s="110">
        <v>0</v>
      </c>
      <c r="F80" s="110">
        <v>0</v>
      </c>
      <c r="G80" s="19">
        <f t="shared" si="41"/>
        <v>0</v>
      </c>
      <c r="H80" s="20">
        <f t="shared" si="42"/>
        <v>0</v>
      </c>
    </row>
    <row r="81" spans="1:8" s="1" customFormat="1" ht="20.100000000000001" customHeight="1" x14ac:dyDescent="0.2">
      <c r="A81" s="382" t="s">
        <v>345</v>
      </c>
      <c r="B81" s="110">
        <v>0</v>
      </c>
      <c r="C81" s="110">
        <v>0</v>
      </c>
      <c r="D81" s="111">
        <f t="shared" si="40"/>
        <v>0</v>
      </c>
      <c r="E81" s="110">
        <v>0</v>
      </c>
      <c r="F81" s="110">
        <v>0</v>
      </c>
      <c r="G81" s="19">
        <f t="shared" si="41"/>
        <v>0</v>
      </c>
      <c r="H81" s="20">
        <f t="shared" si="42"/>
        <v>0</v>
      </c>
    </row>
    <row r="82" spans="1:8" s="1" customFormat="1" ht="20.100000000000001" customHeight="1" x14ac:dyDescent="0.2">
      <c r="A82" s="382" t="s">
        <v>346</v>
      </c>
      <c r="B82" s="110">
        <v>0</v>
      </c>
      <c r="C82" s="110">
        <v>0</v>
      </c>
      <c r="D82" s="111">
        <f t="shared" si="40"/>
        <v>0</v>
      </c>
      <c r="E82" s="110">
        <v>0</v>
      </c>
      <c r="F82" s="110">
        <v>0</v>
      </c>
      <c r="G82" s="19">
        <f t="shared" si="41"/>
        <v>0</v>
      </c>
      <c r="H82" s="20">
        <f t="shared" si="42"/>
        <v>0</v>
      </c>
    </row>
    <row r="83" spans="1:8" s="1" customFormat="1" ht="20.100000000000001" customHeight="1" x14ac:dyDescent="0.2">
      <c r="A83" s="382" t="s">
        <v>347</v>
      </c>
      <c r="B83" s="110">
        <v>0</v>
      </c>
      <c r="C83" s="110">
        <v>0</v>
      </c>
      <c r="D83" s="111">
        <f t="shared" si="40"/>
        <v>0</v>
      </c>
      <c r="E83" s="110">
        <v>0</v>
      </c>
      <c r="F83" s="110">
        <v>0</v>
      </c>
      <c r="G83" s="19">
        <f t="shared" si="41"/>
        <v>0</v>
      </c>
      <c r="H83" s="20">
        <f t="shared" si="42"/>
        <v>0</v>
      </c>
    </row>
    <row r="84" spans="1:8" s="1" customFormat="1" ht="20.100000000000001" customHeight="1" x14ac:dyDescent="0.2">
      <c r="A84" s="382" t="s">
        <v>348</v>
      </c>
      <c r="B84" s="110">
        <v>46384</v>
      </c>
      <c r="C84" s="110">
        <v>0</v>
      </c>
      <c r="D84" s="111">
        <f t="shared" si="40"/>
        <v>46384</v>
      </c>
      <c r="E84" s="110">
        <v>0</v>
      </c>
      <c r="F84" s="110">
        <v>0</v>
      </c>
      <c r="G84" s="19">
        <f t="shared" si="41"/>
        <v>0</v>
      </c>
      <c r="H84" s="20">
        <f t="shared" si="42"/>
        <v>46384</v>
      </c>
    </row>
    <row r="85" spans="1:8" s="1" customFormat="1" ht="20.100000000000001" customHeight="1" x14ac:dyDescent="0.2">
      <c r="A85" s="382" t="s">
        <v>349</v>
      </c>
      <c r="B85" s="110">
        <v>0</v>
      </c>
      <c r="C85" s="110">
        <v>0</v>
      </c>
      <c r="D85" s="111">
        <f t="shared" si="40"/>
        <v>0</v>
      </c>
      <c r="E85" s="110">
        <v>0</v>
      </c>
      <c r="F85" s="110">
        <v>0</v>
      </c>
      <c r="G85" s="19">
        <f t="shared" si="41"/>
        <v>0</v>
      </c>
      <c r="H85" s="20">
        <f t="shared" si="42"/>
        <v>0</v>
      </c>
    </row>
    <row r="86" spans="1:8" s="1" customFormat="1" ht="20.100000000000001" customHeight="1" x14ac:dyDescent="0.2">
      <c r="A86" s="382" t="s">
        <v>350</v>
      </c>
      <c r="B86" s="110">
        <v>97670</v>
      </c>
      <c r="C86" s="110">
        <v>0</v>
      </c>
      <c r="D86" s="111">
        <f t="shared" si="40"/>
        <v>97670</v>
      </c>
      <c r="E86" s="110">
        <v>0</v>
      </c>
      <c r="F86" s="110">
        <v>0</v>
      </c>
      <c r="G86" s="19">
        <f t="shared" si="41"/>
        <v>0</v>
      </c>
      <c r="H86" s="20">
        <f t="shared" si="42"/>
        <v>97670</v>
      </c>
    </row>
    <row r="87" spans="1:8" s="1" customFormat="1" ht="20.100000000000001" customHeight="1" x14ac:dyDescent="0.2">
      <c r="A87" s="382" t="s">
        <v>351</v>
      </c>
      <c r="B87" s="110">
        <v>11396</v>
      </c>
      <c r="C87" s="110">
        <v>0</v>
      </c>
      <c r="D87" s="111">
        <f t="shared" si="40"/>
        <v>11396</v>
      </c>
      <c r="E87" s="110">
        <v>2722</v>
      </c>
      <c r="F87" s="110">
        <v>0</v>
      </c>
      <c r="G87" s="19">
        <f t="shared" si="41"/>
        <v>2722</v>
      </c>
      <c r="H87" s="20">
        <f t="shared" si="42"/>
        <v>14118</v>
      </c>
    </row>
    <row r="88" spans="1:8" s="1" customFormat="1" ht="20.100000000000001" customHeight="1" x14ac:dyDescent="0.2">
      <c r="A88" s="382" t="s">
        <v>352</v>
      </c>
      <c r="B88" s="110">
        <v>0</v>
      </c>
      <c r="C88" s="110">
        <v>0</v>
      </c>
      <c r="D88" s="111">
        <f t="shared" si="40"/>
        <v>0</v>
      </c>
      <c r="E88" s="110">
        <v>0</v>
      </c>
      <c r="F88" s="110">
        <v>0</v>
      </c>
      <c r="G88" s="19">
        <f t="shared" si="41"/>
        <v>0</v>
      </c>
      <c r="H88" s="20">
        <f t="shared" si="42"/>
        <v>0</v>
      </c>
    </row>
    <row r="89" spans="1:8" s="1" customFormat="1" ht="20.100000000000001" customHeight="1" thickBot="1" x14ac:dyDescent="0.25">
      <c r="A89" s="16" t="s">
        <v>157</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513"/>
      <c r="B90" s="514"/>
      <c r="C90" s="514"/>
      <c r="D90" s="514"/>
      <c r="E90" s="514"/>
      <c r="F90" s="514"/>
      <c r="G90" s="514"/>
      <c r="H90" s="514"/>
    </row>
    <row r="91" spans="1:8" s="1" customFormat="1" ht="20.100000000000001" customHeight="1" x14ac:dyDescent="0.2">
      <c r="A91" s="510" t="s">
        <v>356</v>
      </c>
      <c r="B91" s="511"/>
      <c r="C91" s="511"/>
      <c r="D91" s="511"/>
      <c r="E91" s="511"/>
      <c r="F91" s="511"/>
      <c r="G91" s="511"/>
      <c r="H91" s="512"/>
    </row>
    <row r="92" spans="1:8" s="1" customFormat="1" ht="20.100000000000001" customHeight="1" x14ac:dyDescent="0.2">
      <c r="A92" s="515" t="s">
        <v>333</v>
      </c>
      <c r="B92" s="517" t="s">
        <v>334</v>
      </c>
      <c r="C92" s="517"/>
      <c r="D92" s="517"/>
      <c r="E92" s="517" t="s">
        <v>335</v>
      </c>
      <c r="F92" s="517"/>
      <c r="G92" s="517"/>
      <c r="H92" s="509" t="s">
        <v>157</v>
      </c>
    </row>
    <row r="93" spans="1:8" s="1" customFormat="1" ht="20.100000000000001" customHeight="1" x14ac:dyDescent="0.2">
      <c r="A93" s="516"/>
      <c r="B93" s="381" t="s">
        <v>336</v>
      </c>
      <c r="C93" s="381" t="s">
        <v>337</v>
      </c>
      <c r="D93" s="381" t="s">
        <v>157</v>
      </c>
      <c r="E93" s="381" t="s">
        <v>336</v>
      </c>
      <c r="F93" s="381" t="s">
        <v>337</v>
      </c>
      <c r="G93" s="381" t="s">
        <v>157</v>
      </c>
      <c r="H93" s="509"/>
    </row>
    <row r="94" spans="1:8" s="1" customFormat="1" ht="20.100000000000001" customHeight="1" x14ac:dyDescent="0.2">
      <c r="A94" s="21" t="s">
        <v>147</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82" t="s">
        <v>338</v>
      </c>
      <c r="B95" s="13">
        <v>0</v>
      </c>
      <c r="C95" s="13">
        <v>0</v>
      </c>
      <c r="D95" s="14">
        <f>B95+C95</f>
        <v>0</v>
      </c>
      <c r="E95" s="13">
        <v>0</v>
      </c>
      <c r="F95" s="13">
        <v>0</v>
      </c>
      <c r="G95" s="18">
        <f>E95+F95</f>
        <v>0</v>
      </c>
      <c r="H95" s="20">
        <f>SUM(D95,G95)</f>
        <v>0</v>
      </c>
    </row>
    <row r="96" spans="1:8" s="1" customFormat="1" ht="20.100000000000001" customHeight="1" x14ac:dyDescent="0.2">
      <c r="A96" s="382" t="s">
        <v>339</v>
      </c>
      <c r="B96" s="110">
        <v>0</v>
      </c>
      <c r="C96" s="110">
        <v>0</v>
      </c>
      <c r="D96" s="111">
        <f t="shared" ref="D96:D109" si="49">B96+C96</f>
        <v>0</v>
      </c>
      <c r="E96" s="110">
        <v>1035662</v>
      </c>
      <c r="F96" s="110">
        <v>0</v>
      </c>
      <c r="G96" s="19">
        <f t="shared" ref="G96:G109" si="50">E96+F96</f>
        <v>1035662</v>
      </c>
      <c r="H96" s="20">
        <f t="shared" ref="H96:H109" si="51">SUM(D96,G96)</f>
        <v>1035662</v>
      </c>
    </row>
    <row r="97" spans="1:8" s="1" customFormat="1" ht="20.100000000000001" customHeight="1" x14ac:dyDescent="0.2">
      <c r="A97" s="382" t="s">
        <v>340</v>
      </c>
      <c r="B97" s="110">
        <v>0</v>
      </c>
      <c r="C97" s="110">
        <v>0</v>
      </c>
      <c r="D97" s="111">
        <f t="shared" si="49"/>
        <v>0</v>
      </c>
      <c r="E97" s="110">
        <v>22272</v>
      </c>
      <c r="F97" s="110">
        <v>0</v>
      </c>
      <c r="G97" s="19">
        <f t="shared" si="50"/>
        <v>22272</v>
      </c>
      <c r="H97" s="20">
        <f t="shared" si="51"/>
        <v>22272</v>
      </c>
    </row>
    <row r="98" spans="1:8" s="1" customFormat="1" ht="20.100000000000001" customHeight="1" x14ac:dyDescent="0.2">
      <c r="A98" s="28" t="s">
        <v>341</v>
      </c>
      <c r="B98" s="110">
        <v>0</v>
      </c>
      <c r="C98" s="110">
        <v>0</v>
      </c>
      <c r="D98" s="111">
        <f t="shared" si="49"/>
        <v>0</v>
      </c>
      <c r="E98" s="110">
        <v>0</v>
      </c>
      <c r="F98" s="110">
        <v>0</v>
      </c>
      <c r="G98" s="19">
        <f t="shared" si="50"/>
        <v>0</v>
      </c>
      <c r="H98" s="20">
        <f t="shared" si="51"/>
        <v>0</v>
      </c>
    </row>
    <row r="99" spans="1:8" s="1" customFormat="1" ht="20.100000000000001" customHeight="1" x14ac:dyDescent="0.2">
      <c r="A99" s="382" t="s">
        <v>342</v>
      </c>
      <c r="B99" s="110">
        <v>0</v>
      </c>
      <c r="C99" s="110">
        <v>0</v>
      </c>
      <c r="D99" s="111">
        <f t="shared" si="49"/>
        <v>0</v>
      </c>
      <c r="E99" s="110">
        <v>0</v>
      </c>
      <c r="F99" s="110">
        <v>0</v>
      </c>
      <c r="G99" s="19">
        <f t="shared" si="50"/>
        <v>0</v>
      </c>
      <c r="H99" s="20">
        <f t="shared" si="51"/>
        <v>0</v>
      </c>
    </row>
    <row r="100" spans="1:8" s="1" customFormat="1" ht="20.100000000000001" customHeight="1" x14ac:dyDescent="0.2">
      <c r="A100" s="382" t="s">
        <v>343</v>
      </c>
      <c r="B100" s="110">
        <v>0</v>
      </c>
      <c r="C100" s="110">
        <v>0</v>
      </c>
      <c r="D100" s="111">
        <f t="shared" si="49"/>
        <v>0</v>
      </c>
      <c r="E100" s="110">
        <v>0</v>
      </c>
      <c r="F100" s="110">
        <v>0</v>
      </c>
      <c r="G100" s="19">
        <f t="shared" si="50"/>
        <v>0</v>
      </c>
      <c r="H100" s="20">
        <f t="shared" si="51"/>
        <v>0</v>
      </c>
    </row>
    <row r="101" spans="1:8" s="1" customFormat="1" ht="20.100000000000001" customHeight="1" x14ac:dyDescent="0.2">
      <c r="A101" s="382" t="s">
        <v>344</v>
      </c>
      <c r="B101" s="110">
        <v>0</v>
      </c>
      <c r="C101" s="110">
        <v>0</v>
      </c>
      <c r="D101" s="111">
        <f t="shared" si="49"/>
        <v>0</v>
      </c>
      <c r="E101" s="110">
        <v>0</v>
      </c>
      <c r="F101" s="110">
        <v>0</v>
      </c>
      <c r="G101" s="19">
        <f t="shared" si="50"/>
        <v>0</v>
      </c>
      <c r="H101" s="20">
        <f t="shared" si="51"/>
        <v>0</v>
      </c>
    </row>
    <row r="102" spans="1:8" s="1" customFormat="1" ht="20.100000000000001" customHeight="1" x14ac:dyDescent="0.2">
      <c r="A102" s="382" t="s">
        <v>345</v>
      </c>
      <c r="B102" s="110">
        <v>0</v>
      </c>
      <c r="C102" s="110">
        <v>0</v>
      </c>
      <c r="D102" s="111">
        <f t="shared" si="49"/>
        <v>0</v>
      </c>
      <c r="E102" s="110">
        <v>0</v>
      </c>
      <c r="F102" s="110">
        <v>0</v>
      </c>
      <c r="G102" s="19">
        <f t="shared" si="50"/>
        <v>0</v>
      </c>
      <c r="H102" s="20">
        <f t="shared" si="51"/>
        <v>0</v>
      </c>
    </row>
    <row r="103" spans="1:8" s="1" customFormat="1" ht="20.100000000000001" customHeight="1" x14ac:dyDescent="0.2">
      <c r="A103" s="382" t="s">
        <v>346</v>
      </c>
      <c r="B103" s="110">
        <v>0</v>
      </c>
      <c r="C103" s="110">
        <v>0</v>
      </c>
      <c r="D103" s="111">
        <f t="shared" si="49"/>
        <v>0</v>
      </c>
      <c r="E103" s="110">
        <v>0</v>
      </c>
      <c r="F103" s="110">
        <v>0</v>
      </c>
      <c r="G103" s="19">
        <f t="shared" si="50"/>
        <v>0</v>
      </c>
      <c r="H103" s="20">
        <f t="shared" si="51"/>
        <v>0</v>
      </c>
    </row>
    <row r="104" spans="1:8" s="1" customFormat="1" ht="20.100000000000001" customHeight="1" x14ac:dyDescent="0.2">
      <c r="A104" s="382" t="s">
        <v>347</v>
      </c>
      <c r="B104" s="110">
        <v>0</v>
      </c>
      <c r="C104" s="110">
        <v>0</v>
      </c>
      <c r="D104" s="111">
        <f t="shared" si="49"/>
        <v>0</v>
      </c>
      <c r="E104" s="110">
        <v>0</v>
      </c>
      <c r="F104" s="110">
        <v>0</v>
      </c>
      <c r="G104" s="19">
        <f t="shared" si="50"/>
        <v>0</v>
      </c>
      <c r="H104" s="20">
        <f t="shared" si="51"/>
        <v>0</v>
      </c>
    </row>
    <row r="105" spans="1:8" s="1" customFormat="1" ht="20.100000000000001" customHeight="1" x14ac:dyDescent="0.2">
      <c r="A105" s="382" t="s">
        <v>348</v>
      </c>
      <c r="B105" s="110">
        <v>48240</v>
      </c>
      <c r="C105" s="110">
        <v>0</v>
      </c>
      <c r="D105" s="111">
        <f t="shared" si="49"/>
        <v>48240</v>
      </c>
      <c r="E105" s="110">
        <v>0</v>
      </c>
      <c r="F105" s="110">
        <v>0</v>
      </c>
      <c r="G105" s="19">
        <f t="shared" si="50"/>
        <v>0</v>
      </c>
      <c r="H105" s="20">
        <f t="shared" si="51"/>
        <v>48240</v>
      </c>
    </row>
    <row r="106" spans="1:8" s="1" customFormat="1" ht="20.100000000000001" customHeight="1" x14ac:dyDescent="0.2">
      <c r="A106" s="382" t="s">
        <v>349</v>
      </c>
      <c r="B106" s="110">
        <v>0</v>
      </c>
      <c r="C106" s="110">
        <v>0</v>
      </c>
      <c r="D106" s="111">
        <f t="shared" si="49"/>
        <v>0</v>
      </c>
      <c r="E106" s="110">
        <v>0</v>
      </c>
      <c r="F106" s="110">
        <v>0</v>
      </c>
      <c r="G106" s="19">
        <f t="shared" si="50"/>
        <v>0</v>
      </c>
      <c r="H106" s="20">
        <f t="shared" si="51"/>
        <v>0</v>
      </c>
    </row>
    <row r="107" spans="1:8" s="1" customFormat="1" ht="20.100000000000001" customHeight="1" x14ac:dyDescent="0.2">
      <c r="A107" s="382" t="s">
        <v>350</v>
      </c>
      <c r="B107" s="110">
        <v>101576</v>
      </c>
      <c r="C107" s="110">
        <v>0</v>
      </c>
      <c r="D107" s="111">
        <f t="shared" si="49"/>
        <v>101576</v>
      </c>
      <c r="E107" s="110">
        <v>0</v>
      </c>
      <c r="F107" s="110">
        <v>0</v>
      </c>
      <c r="G107" s="19">
        <f t="shared" si="50"/>
        <v>0</v>
      </c>
      <c r="H107" s="20">
        <f t="shared" si="51"/>
        <v>101576</v>
      </c>
    </row>
    <row r="108" spans="1:8" s="1" customFormat="1" ht="20.100000000000001" customHeight="1" x14ac:dyDescent="0.2">
      <c r="A108" s="382" t="s">
        <v>351</v>
      </c>
      <c r="B108" s="110">
        <v>11852</v>
      </c>
      <c r="C108" s="110">
        <v>0</v>
      </c>
      <c r="D108" s="111">
        <f t="shared" si="49"/>
        <v>11852</v>
      </c>
      <c r="E108" s="110">
        <v>2831</v>
      </c>
      <c r="F108" s="110">
        <v>0</v>
      </c>
      <c r="G108" s="19">
        <f t="shared" si="50"/>
        <v>2831</v>
      </c>
      <c r="H108" s="20">
        <f t="shared" si="51"/>
        <v>14683</v>
      </c>
    </row>
    <row r="109" spans="1:8" s="1" customFormat="1" ht="20.100000000000001" customHeight="1" x14ac:dyDescent="0.2">
      <c r="A109" s="382" t="s">
        <v>352</v>
      </c>
      <c r="B109" s="110">
        <v>0</v>
      </c>
      <c r="C109" s="110">
        <v>0</v>
      </c>
      <c r="D109" s="111">
        <f t="shared" si="49"/>
        <v>0</v>
      </c>
      <c r="E109" s="110">
        <v>0</v>
      </c>
      <c r="F109" s="110">
        <v>0</v>
      </c>
      <c r="G109" s="19">
        <f t="shared" si="50"/>
        <v>0</v>
      </c>
      <c r="H109" s="20">
        <f t="shared" si="51"/>
        <v>0</v>
      </c>
    </row>
    <row r="110" spans="1:8" s="1" customFormat="1" ht="20.100000000000001" customHeight="1" thickBot="1" x14ac:dyDescent="0.25">
      <c r="A110" s="16" t="s">
        <v>157</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66" t="s">
        <v>333</v>
      </c>
      <c r="B113" s="567"/>
      <c r="C113" s="567"/>
      <c r="D113" s="568"/>
      <c r="E113" s="22" t="s">
        <v>357</v>
      </c>
      <c r="F113" s="572" t="s">
        <v>358</v>
      </c>
      <c r="G113" s="573"/>
      <c r="H113" s="574"/>
    </row>
    <row r="114" spans="1:14" s="1" customFormat="1" ht="20.100000000000001" customHeight="1" x14ac:dyDescent="0.2">
      <c r="A114" s="569" t="s">
        <v>147</v>
      </c>
      <c r="B114" s="570"/>
      <c r="C114" s="570"/>
      <c r="D114" s="571"/>
      <c r="E114" s="26" t="s">
        <v>359</v>
      </c>
      <c r="F114" s="559" t="s">
        <v>360</v>
      </c>
      <c r="G114" s="560"/>
      <c r="H114" s="561"/>
    </row>
    <row r="115" spans="1:14" s="1" customFormat="1" ht="20.100000000000001" customHeight="1" x14ac:dyDescent="0.2">
      <c r="A115" s="563" t="s">
        <v>338</v>
      </c>
      <c r="B115" s="564"/>
      <c r="C115" s="564"/>
      <c r="D115" s="565"/>
      <c r="E115" s="26" t="s">
        <v>361</v>
      </c>
      <c r="F115" s="523" t="s">
        <v>362</v>
      </c>
      <c r="G115" s="524"/>
      <c r="H115" s="525"/>
      <c r="K115" s="562"/>
      <c r="L115" s="562"/>
      <c r="M115" s="562"/>
      <c r="N115" s="562"/>
    </row>
    <row r="116" spans="1:14" s="1" customFormat="1" ht="20.100000000000001" customHeight="1" x14ac:dyDescent="0.2">
      <c r="A116" s="541" t="s">
        <v>339</v>
      </c>
      <c r="B116" s="542"/>
      <c r="C116" s="542"/>
      <c r="D116" s="543"/>
      <c r="E116" s="26" t="s">
        <v>363</v>
      </c>
      <c r="F116" s="520" t="s">
        <v>364</v>
      </c>
      <c r="G116" s="521"/>
      <c r="H116" s="522"/>
      <c r="K116" s="383"/>
      <c r="L116" s="383"/>
      <c r="M116" s="383"/>
      <c r="N116" s="383"/>
    </row>
    <row r="117" spans="1:14" s="1" customFormat="1" ht="20.100000000000001" customHeight="1" x14ac:dyDescent="0.2">
      <c r="A117" s="541" t="s">
        <v>340</v>
      </c>
      <c r="B117" s="542"/>
      <c r="C117" s="542"/>
      <c r="D117" s="543"/>
      <c r="E117" s="26" t="s">
        <v>365</v>
      </c>
      <c r="F117" s="520" t="s">
        <v>366</v>
      </c>
      <c r="G117" s="521"/>
      <c r="H117" s="522"/>
      <c r="K117" s="383"/>
      <c r="L117" s="383"/>
      <c r="M117" s="383"/>
      <c r="N117" s="383"/>
    </row>
    <row r="118" spans="1:14" s="1" customFormat="1" ht="20.100000000000001" customHeight="1" x14ac:dyDescent="0.2">
      <c r="A118" s="553" t="s">
        <v>341</v>
      </c>
      <c r="B118" s="554"/>
      <c r="C118" s="554"/>
      <c r="D118" s="555"/>
      <c r="E118" s="26" t="s">
        <v>367</v>
      </c>
      <c r="F118" s="556" t="s">
        <v>368</v>
      </c>
      <c r="G118" s="557"/>
      <c r="H118" s="558"/>
      <c r="K118" s="383"/>
      <c r="L118" s="383"/>
      <c r="M118" s="383"/>
      <c r="N118" s="383"/>
    </row>
    <row r="119" spans="1:14" s="1" customFormat="1" ht="20.100000000000001" customHeight="1" x14ac:dyDescent="0.2">
      <c r="A119" s="541" t="s">
        <v>342</v>
      </c>
      <c r="B119" s="542"/>
      <c r="C119" s="542"/>
      <c r="D119" s="543"/>
      <c r="E119" s="26" t="s">
        <v>369</v>
      </c>
      <c r="F119" s="520" t="s">
        <v>370</v>
      </c>
      <c r="G119" s="521"/>
      <c r="H119" s="522"/>
      <c r="K119" s="383"/>
      <c r="L119" s="383"/>
      <c r="M119" s="383"/>
      <c r="N119" s="383"/>
    </row>
    <row r="120" spans="1:14" s="1" customFormat="1" ht="20.100000000000001" customHeight="1" x14ac:dyDescent="0.2">
      <c r="A120" s="541" t="s">
        <v>343</v>
      </c>
      <c r="B120" s="542"/>
      <c r="C120" s="542"/>
      <c r="D120" s="543"/>
      <c r="E120" s="26" t="s">
        <v>371</v>
      </c>
      <c r="F120" s="520" t="s">
        <v>372</v>
      </c>
      <c r="G120" s="521"/>
      <c r="H120" s="522"/>
      <c r="K120" s="383"/>
      <c r="L120" s="383"/>
      <c r="M120" s="383"/>
      <c r="N120" s="383"/>
    </row>
    <row r="121" spans="1:14" s="1" customFormat="1" ht="20.100000000000001" customHeight="1" x14ac:dyDescent="0.2">
      <c r="A121" s="541" t="s">
        <v>344</v>
      </c>
      <c r="B121" s="542"/>
      <c r="C121" s="542"/>
      <c r="D121" s="543"/>
      <c r="E121" s="26" t="s">
        <v>373</v>
      </c>
      <c r="F121" s="520" t="s">
        <v>374</v>
      </c>
      <c r="G121" s="521"/>
      <c r="H121" s="522"/>
      <c r="K121" s="383"/>
      <c r="L121" s="383"/>
      <c r="M121" s="383"/>
      <c r="N121" s="383"/>
    </row>
    <row r="122" spans="1:14" s="1" customFormat="1" ht="20.100000000000001" customHeight="1" x14ac:dyDescent="0.2">
      <c r="A122" s="541" t="s">
        <v>345</v>
      </c>
      <c r="B122" s="542"/>
      <c r="C122" s="542"/>
      <c r="D122" s="543"/>
      <c r="E122" s="26" t="s">
        <v>375</v>
      </c>
      <c r="F122" s="520" t="s">
        <v>376</v>
      </c>
      <c r="G122" s="521"/>
      <c r="H122" s="522"/>
      <c r="K122" s="383"/>
      <c r="L122" s="383"/>
      <c r="M122" s="383"/>
      <c r="N122" s="383"/>
    </row>
    <row r="123" spans="1:14" s="1" customFormat="1" ht="20.100000000000001" customHeight="1" x14ac:dyDescent="0.2">
      <c r="A123" s="541" t="s">
        <v>377</v>
      </c>
      <c r="B123" s="542"/>
      <c r="C123" s="542"/>
      <c r="D123" s="543"/>
      <c r="E123" s="27"/>
      <c r="F123" s="526"/>
      <c r="G123" s="527"/>
      <c r="H123" s="528"/>
      <c r="K123" s="383"/>
      <c r="L123" s="383"/>
      <c r="M123" s="383"/>
      <c r="N123" s="383"/>
    </row>
    <row r="124" spans="1:14" s="1" customFormat="1" ht="20.100000000000001" customHeight="1" x14ac:dyDescent="0.2">
      <c r="A124" s="547" t="s">
        <v>378</v>
      </c>
      <c r="B124" s="548"/>
      <c r="C124" s="548"/>
      <c r="D124" s="549"/>
      <c r="E124" s="26" t="s">
        <v>379</v>
      </c>
      <c r="F124" s="520" t="s">
        <v>380</v>
      </c>
      <c r="G124" s="521"/>
      <c r="H124" s="522"/>
      <c r="K124" s="23"/>
      <c r="L124" s="23"/>
      <c r="M124" s="23"/>
      <c r="N124" s="23"/>
    </row>
    <row r="125" spans="1:14" s="1" customFormat="1" ht="20.100000000000001" customHeight="1" x14ac:dyDescent="0.2">
      <c r="A125" s="547" t="s">
        <v>381</v>
      </c>
      <c r="B125" s="548"/>
      <c r="C125" s="548"/>
      <c r="D125" s="549"/>
      <c r="E125" s="26" t="s">
        <v>382</v>
      </c>
      <c r="F125" s="520" t="s">
        <v>383</v>
      </c>
      <c r="G125" s="521"/>
      <c r="H125" s="522"/>
      <c r="K125" s="23"/>
      <c r="L125" s="23"/>
      <c r="M125" s="23"/>
      <c r="N125" s="23"/>
    </row>
    <row r="126" spans="1:14" s="1" customFormat="1" ht="20.100000000000001" customHeight="1" x14ac:dyDescent="0.2">
      <c r="A126" s="547" t="s">
        <v>384</v>
      </c>
      <c r="B126" s="548"/>
      <c r="C126" s="548"/>
      <c r="D126" s="549"/>
      <c r="E126" s="26" t="s">
        <v>385</v>
      </c>
      <c r="F126" s="520" t="s">
        <v>386</v>
      </c>
      <c r="G126" s="521"/>
      <c r="H126" s="522"/>
      <c r="K126" s="23"/>
      <c r="L126" s="23"/>
      <c r="M126" s="23"/>
      <c r="N126" s="23"/>
    </row>
    <row r="127" spans="1:14" s="1" customFormat="1" ht="20.100000000000001" customHeight="1" x14ac:dyDescent="0.2">
      <c r="A127" s="541" t="s">
        <v>347</v>
      </c>
      <c r="B127" s="542"/>
      <c r="C127" s="542"/>
      <c r="D127" s="543"/>
      <c r="E127" s="27"/>
      <c r="F127" s="529"/>
      <c r="G127" s="530"/>
      <c r="H127" s="531"/>
      <c r="K127" s="383"/>
      <c r="L127" s="383"/>
      <c r="M127" s="383"/>
      <c r="N127" s="383"/>
    </row>
    <row r="128" spans="1:14" s="1" customFormat="1" ht="20.100000000000001" customHeight="1" x14ac:dyDescent="0.2">
      <c r="A128" s="547" t="s">
        <v>387</v>
      </c>
      <c r="B128" s="548"/>
      <c r="C128" s="548"/>
      <c r="D128" s="549"/>
      <c r="E128" s="26" t="s">
        <v>388</v>
      </c>
      <c r="F128" s="520" t="s">
        <v>389</v>
      </c>
      <c r="G128" s="521"/>
      <c r="H128" s="522"/>
      <c r="K128" s="23"/>
      <c r="L128" s="23"/>
      <c r="M128" s="23"/>
      <c r="N128" s="23"/>
    </row>
    <row r="129" spans="1:14" s="1" customFormat="1" ht="20.100000000000001" customHeight="1" x14ac:dyDescent="0.2">
      <c r="A129" s="547" t="s">
        <v>390</v>
      </c>
      <c r="B129" s="548"/>
      <c r="C129" s="548"/>
      <c r="D129" s="549"/>
      <c r="E129" s="26" t="s">
        <v>391</v>
      </c>
      <c r="F129" s="520" t="s">
        <v>392</v>
      </c>
      <c r="G129" s="521"/>
      <c r="H129" s="522"/>
      <c r="K129" s="23"/>
      <c r="L129" s="23"/>
      <c r="M129" s="23"/>
      <c r="N129" s="23"/>
    </row>
    <row r="130" spans="1:14" s="1" customFormat="1" ht="20.100000000000001" customHeight="1" x14ac:dyDescent="0.2">
      <c r="A130" s="547" t="s">
        <v>393</v>
      </c>
      <c r="B130" s="548"/>
      <c r="C130" s="548"/>
      <c r="D130" s="549"/>
      <c r="E130" s="26" t="s">
        <v>394</v>
      </c>
      <c r="F130" s="520" t="s">
        <v>395</v>
      </c>
      <c r="G130" s="521"/>
      <c r="H130" s="522"/>
      <c r="K130" s="23"/>
      <c r="L130" s="23"/>
      <c r="M130" s="23"/>
      <c r="N130" s="23"/>
    </row>
    <row r="131" spans="1:14" s="1" customFormat="1" ht="20.100000000000001" customHeight="1" x14ac:dyDescent="0.2">
      <c r="A131" s="544" t="s">
        <v>396</v>
      </c>
      <c r="B131" s="545"/>
      <c r="C131" s="545"/>
      <c r="D131" s="546"/>
      <c r="E131" s="26" t="s">
        <v>397</v>
      </c>
      <c r="F131" s="535" t="s">
        <v>398</v>
      </c>
      <c r="G131" s="536"/>
      <c r="H131" s="537"/>
      <c r="K131" s="24"/>
      <c r="L131" s="24"/>
      <c r="M131" s="24"/>
      <c r="N131" s="24"/>
    </row>
    <row r="132" spans="1:14" s="1" customFormat="1" ht="20.100000000000001" customHeight="1" x14ac:dyDescent="0.2">
      <c r="A132" s="541" t="s">
        <v>348</v>
      </c>
      <c r="B132" s="542"/>
      <c r="C132" s="542"/>
      <c r="D132" s="543"/>
      <c r="E132" s="26" t="s">
        <v>359</v>
      </c>
      <c r="F132" s="520" t="s">
        <v>399</v>
      </c>
      <c r="G132" s="521"/>
      <c r="H132" s="522"/>
      <c r="K132" s="383"/>
      <c r="L132" s="383"/>
      <c r="M132" s="383"/>
      <c r="N132" s="383"/>
    </row>
    <row r="133" spans="1:14" s="1" customFormat="1" ht="20.100000000000001" customHeight="1" x14ac:dyDescent="0.2">
      <c r="A133" s="541" t="s">
        <v>349</v>
      </c>
      <c r="B133" s="542"/>
      <c r="C133" s="542"/>
      <c r="D133" s="543"/>
      <c r="E133" s="26" t="s">
        <v>359</v>
      </c>
      <c r="F133" s="520" t="s">
        <v>400</v>
      </c>
      <c r="G133" s="521"/>
      <c r="H133" s="522"/>
      <c r="K133" s="383"/>
      <c r="L133" s="383"/>
      <c r="M133" s="383"/>
      <c r="N133" s="383"/>
    </row>
    <row r="134" spans="1:14" s="1" customFormat="1" ht="20.100000000000001" customHeight="1" x14ac:dyDescent="0.2">
      <c r="A134" s="541" t="s">
        <v>350</v>
      </c>
      <c r="B134" s="542"/>
      <c r="C134" s="542"/>
      <c r="D134" s="543"/>
      <c r="E134" s="26" t="s">
        <v>401</v>
      </c>
      <c r="F134" s="520" t="s">
        <v>402</v>
      </c>
      <c r="G134" s="521"/>
      <c r="H134" s="522"/>
      <c r="K134" s="383"/>
      <c r="L134" s="383"/>
      <c r="M134" s="383"/>
      <c r="N134" s="383"/>
    </row>
    <row r="135" spans="1:14" s="1" customFormat="1" ht="20.100000000000001" customHeight="1" thickBot="1" x14ac:dyDescent="0.25">
      <c r="A135" s="538" t="s">
        <v>352</v>
      </c>
      <c r="B135" s="539"/>
      <c r="C135" s="539"/>
      <c r="D135" s="540"/>
      <c r="E135" s="25" t="s">
        <v>359</v>
      </c>
      <c r="F135" s="532" t="s">
        <v>403</v>
      </c>
      <c r="G135" s="533"/>
      <c r="H135" s="534"/>
      <c r="K135" s="383"/>
      <c r="L135" s="383"/>
      <c r="M135" s="383"/>
      <c r="N135" s="383"/>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404</v>
      </c>
      <c r="B1" s="8" t="s">
        <v>405</v>
      </c>
    </row>
    <row r="2" spans="1:2" x14ac:dyDescent="0.2">
      <c r="A2" s="8">
        <v>1</v>
      </c>
      <c r="B2" s="8" t="s">
        <v>406</v>
      </c>
    </row>
    <row r="3" spans="1:2" x14ac:dyDescent="0.2">
      <c r="A3" s="8">
        <v>2</v>
      </c>
      <c r="B3" s="8" t="s">
        <v>407</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G13" sqref="G13"/>
    </sheetView>
  </sheetViews>
  <sheetFormatPr defaultColWidth="8.5703125" defaultRowHeight="12.75" x14ac:dyDescent="0.2"/>
  <cols>
    <col min="5" max="5" width="17.42578125" customWidth="1"/>
  </cols>
  <sheetData>
    <row r="1" spans="1:19" s="2" customFormat="1" ht="30" customHeight="1" x14ac:dyDescent="0.2">
      <c r="A1" s="405" t="s">
        <v>61</v>
      </c>
      <c r="B1" s="405"/>
      <c r="C1" s="405"/>
      <c r="D1" s="405"/>
      <c r="E1" s="405"/>
      <c r="F1" s="405"/>
      <c r="G1" s="405"/>
      <c r="H1" s="405"/>
      <c r="I1" s="405"/>
      <c r="J1" s="405"/>
      <c r="K1" s="405"/>
      <c r="L1" s="405"/>
      <c r="M1" s="405"/>
      <c r="N1" s="405"/>
      <c r="O1" s="405"/>
      <c r="P1" s="405"/>
      <c r="Q1" s="405"/>
    </row>
    <row r="2" spans="1:19" s="2" customFormat="1" ht="30" customHeight="1" thickBot="1" x14ac:dyDescent="0.25">
      <c r="A2" s="407" t="s">
        <v>62</v>
      </c>
      <c r="B2" s="407"/>
      <c r="C2" s="407"/>
      <c r="D2" s="407"/>
      <c r="E2" s="407"/>
      <c r="F2" s="375"/>
      <c r="G2" s="375"/>
      <c r="H2" s="375"/>
      <c r="I2" s="375"/>
      <c r="J2" s="375"/>
      <c r="K2" s="375"/>
      <c r="L2" s="375"/>
      <c r="M2" s="375"/>
      <c r="N2" s="375"/>
      <c r="O2" s="375"/>
      <c r="P2" s="375"/>
    </row>
    <row r="3" spans="1:19" s="2" customFormat="1" ht="30" customHeight="1" thickBot="1" x14ac:dyDescent="0.25">
      <c r="A3" s="406" t="s">
        <v>63</v>
      </c>
      <c r="B3" s="406"/>
      <c r="C3" s="417" t="s">
        <v>64</v>
      </c>
      <c r="D3" s="418"/>
      <c r="E3" s="418"/>
      <c r="F3" s="418"/>
      <c r="G3" s="418"/>
      <c r="H3" s="418"/>
      <c r="I3" s="418"/>
      <c r="J3" s="418"/>
      <c r="K3" s="418"/>
      <c r="L3" s="418"/>
      <c r="M3" s="418"/>
      <c r="N3" s="418"/>
      <c r="O3" s="418"/>
      <c r="P3" s="418"/>
      <c r="Q3" s="418"/>
      <c r="R3" s="418"/>
      <c r="S3" s="419"/>
    </row>
    <row r="4" spans="1:19" s="5" customFormat="1" ht="30" customHeight="1" thickBot="1" x14ac:dyDescent="0.25">
      <c r="A4" s="406" t="s">
        <v>65</v>
      </c>
      <c r="B4" s="406"/>
      <c r="C4" s="406"/>
      <c r="D4" s="412"/>
      <c r="E4" s="413" t="s">
        <v>66</v>
      </c>
      <c r="F4" s="414"/>
      <c r="G4" s="414"/>
      <c r="H4" s="415"/>
      <c r="I4" s="4"/>
      <c r="J4" s="4"/>
      <c r="K4" s="4"/>
      <c r="L4" s="4"/>
      <c r="M4" s="4"/>
      <c r="N4" s="4"/>
      <c r="O4" s="4"/>
      <c r="P4" s="4"/>
      <c r="Q4" s="4"/>
      <c r="R4" s="4"/>
      <c r="S4" s="4"/>
    </row>
    <row r="5" spans="1:19" s="5" customFormat="1" ht="21" thickBot="1" x14ac:dyDescent="0.25">
      <c r="A5" s="406" t="s">
        <v>67</v>
      </c>
      <c r="B5" s="406"/>
      <c r="C5" s="406"/>
      <c r="D5" s="406"/>
      <c r="E5" s="406"/>
      <c r="F5" s="406"/>
      <c r="G5" s="406"/>
      <c r="H5" s="4"/>
      <c r="I5" s="4"/>
      <c r="J5" s="4"/>
      <c r="K5" s="4"/>
      <c r="L5" s="4"/>
      <c r="M5" s="4"/>
      <c r="N5" s="4"/>
      <c r="O5" s="4"/>
      <c r="P5" s="4"/>
      <c r="Q5" s="4"/>
      <c r="R5" s="4"/>
      <c r="S5" s="4"/>
    </row>
    <row r="6" spans="1:19" s="5" customFormat="1" ht="48.75" customHeight="1" thickBot="1" x14ac:dyDescent="0.25">
      <c r="A6" s="408" t="s">
        <v>68</v>
      </c>
      <c r="B6" s="408"/>
      <c r="C6" s="408"/>
      <c r="D6" s="408"/>
      <c r="E6" s="408"/>
      <c r="F6" s="408"/>
      <c r="G6" s="408"/>
      <c r="H6" s="409" t="s">
        <v>69</v>
      </c>
      <c r="I6" s="410"/>
      <c r="J6" s="410"/>
      <c r="K6" s="410"/>
      <c r="L6" s="410"/>
      <c r="M6" s="410"/>
      <c r="N6" s="410"/>
      <c r="O6" s="410"/>
      <c r="P6" s="410"/>
      <c r="Q6" s="411"/>
      <c r="R6" s="4"/>
      <c r="S6" s="4"/>
    </row>
    <row r="7" spans="1:19" s="5" customFormat="1" ht="48.75" customHeight="1" thickBot="1" x14ac:dyDescent="0.25">
      <c r="A7" s="408" t="s">
        <v>70</v>
      </c>
      <c r="B7" s="408"/>
      <c r="C7" s="408"/>
      <c r="D7" s="408"/>
      <c r="E7" s="408"/>
      <c r="F7" s="408"/>
      <c r="G7" s="408"/>
      <c r="H7" s="416" t="s">
        <v>71</v>
      </c>
      <c r="I7" s="410"/>
      <c r="J7" s="410"/>
      <c r="K7" s="410"/>
      <c r="L7" s="410"/>
      <c r="M7" s="410"/>
      <c r="N7" s="410"/>
      <c r="O7" s="410"/>
      <c r="P7" s="410"/>
      <c r="Q7" s="411"/>
      <c r="R7" s="4"/>
      <c r="S7" s="4"/>
    </row>
    <row r="8" spans="1:19" s="5" customFormat="1" ht="48.75" customHeight="1" thickBot="1" x14ac:dyDescent="0.25">
      <c r="A8" s="408" t="s">
        <v>72</v>
      </c>
      <c r="B8" s="408"/>
      <c r="C8" s="408"/>
      <c r="D8" s="408"/>
      <c r="E8" s="408"/>
      <c r="F8" s="408"/>
      <c r="G8" s="408"/>
      <c r="H8" s="409" t="s">
        <v>73</v>
      </c>
      <c r="I8" s="410"/>
      <c r="J8" s="410"/>
      <c r="K8" s="410"/>
      <c r="L8" s="410"/>
      <c r="M8" s="410"/>
      <c r="N8" s="410"/>
      <c r="O8" s="410"/>
      <c r="P8" s="410"/>
      <c r="Q8" s="411"/>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3"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topLeftCell="A2" zoomScale="154" zoomScaleNormal="154" workbookViewId="0">
      <selection activeCell="A19" sqref="A19"/>
    </sheetView>
  </sheetViews>
  <sheetFormatPr defaultRowHeight="12.75" x14ac:dyDescent="0.2"/>
  <cols>
    <col min="1" max="1" width="54.42578125" customWidth="1"/>
    <col min="2" max="6" width="20.5703125" customWidth="1"/>
  </cols>
  <sheetData>
    <row r="1" spans="1:6" ht="23.25" x14ac:dyDescent="0.35">
      <c r="A1" s="95" t="s">
        <v>74</v>
      </c>
      <c r="B1" s="96"/>
      <c r="C1" s="96"/>
      <c r="D1" s="96"/>
      <c r="E1" s="96"/>
      <c r="F1" s="166"/>
    </row>
    <row r="2" spans="1:6" ht="22.5" customHeight="1" x14ac:dyDescent="0.2">
      <c r="A2" s="175" t="str">
        <f>'Institution ID'!C3</f>
        <v>Institution Name:   Norfolk State University</v>
      </c>
      <c r="B2" s="175"/>
      <c r="C2" s="175"/>
      <c r="D2" s="175"/>
      <c r="E2" s="175"/>
      <c r="F2" s="166"/>
    </row>
    <row r="3" spans="1:6" ht="15" x14ac:dyDescent="0.2">
      <c r="A3" s="97"/>
      <c r="B3" s="97"/>
      <c r="C3" s="97"/>
      <c r="D3" s="97"/>
      <c r="E3" s="97"/>
      <c r="F3" s="166"/>
    </row>
    <row r="4" spans="1:6" ht="85.5" customHeight="1" x14ac:dyDescent="0.2">
      <c r="A4" s="426" t="s">
        <v>75</v>
      </c>
      <c r="B4" s="427"/>
      <c r="C4" s="427"/>
      <c r="D4" s="427"/>
      <c r="E4" s="427"/>
      <c r="F4" s="427"/>
    </row>
    <row r="5" spans="1:6" ht="15" x14ac:dyDescent="0.2">
      <c r="A5" s="166"/>
      <c r="B5" s="98"/>
      <c r="C5" s="98"/>
      <c r="D5" s="98"/>
      <c r="E5" s="98"/>
      <c r="F5" s="98"/>
    </row>
    <row r="6" spans="1:6" ht="18" x14ac:dyDescent="0.25">
      <c r="A6" s="166"/>
      <c r="B6" s="420" t="s">
        <v>76</v>
      </c>
      <c r="C6" s="421"/>
      <c r="D6" s="421"/>
      <c r="E6" s="421"/>
      <c r="F6" s="422"/>
    </row>
    <row r="7" spans="1:6" ht="15" x14ac:dyDescent="0.2">
      <c r="B7" s="176" t="s">
        <v>77</v>
      </c>
      <c r="C7" s="423" t="s">
        <v>78</v>
      </c>
      <c r="D7" s="424"/>
      <c r="E7" s="424" t="s">
        <v>79</v>
      </c>
      <c r="F7" s="425"/>
    </row>
    <row r="8" spans="1:6" ht="30" x14ac:dyDescent="0.2">
      <c r="B8" s="177" t="s">
        <v>80</v>
      </c>
      <c r="C8" s="178" t="s">
        <v>81</v>
      </c>
      <c r="D8" s="179" t="s">
        <v>82</v>
      </c>
      <c r="E8" s="178" t="s">
        <v>81</v>
      </c>
      <c r="F8" s="179" t="s">
        <v>82</v>
      </c>
    </row>
    <row r="9" spans="1:6" ht="15" x14ac:dyDescent="0.2">
      <c r="A9" s="115" t="s">
        <v>83</v>
      </c>
      <c r="B9" s="123">
        <v>5926</v>
      </c>
      <c r="C9" s="126">
        <v>6104</v>
      </c>
      <c r="D9" s="116">
        <f>IF(C9=0,"%",C9/B9-1)</f>
        <v>3.0037124535943205E-2</v>
      </c>
      <c r="E9" s="126">
        <v>6288</v>
      </c>
      <c r="F9" s="116">
        <f>IF(E9=0,"%",E9/C9-1)</f>
        <v>3.0144167758846763E-2</v>
      </c>
    </row>
    <row r="10" spans="1:6" ht="15" x14ac:dyDescent="0.2">
      <c r="A10" s="113" t="s">
        <v>84</v>
      </c>
      <c r="B10" s="124"/>
      <c r="C10" s="127"/>
      <c r="D10" s="117" t="str">
        <f t="shared" ref="D10:D15" si="0">IF(C10=0,"%",C10/B10-1)</f>
        <v>%</v>
      </c>
      <c r="E10" s="127"/>
      <c r="F10" s="117" t="str">
        <f t="shared" ref="F10:F15" si="1">IF(E10=0,"%",E10/C10-1)</f>
        <v>%</v>
      </c>
    </row>
    <row r="11" spans="1:6" ht="15" x14ac:dyDescent="0.2">
      <c r="A11" s="114" t="s">
        <v>85</v>
      </c>
      <c r="B11" s="125">
        <v>3984</v>
      </c>
      <c r="C11" s="128">
        <v>4104</v>
      </c>
      <c r="D11" s="118">
        <f t="shared" si="0"/>
        <v>3.0120481927710774E-2</v>
      </c>
      <c r="E11" s="128">
        <v>4228</v>
      </c>
      <c r="F11" s="118">
        <f t="shared" si="1"/>
        <v>3.0214424951267027E-2</v>
      </c>
    </row>
    <row r="12" spans="1:6" ht="15" x14ac:dyDescent="0.2">
      <c r="A12" s="120" t="s">
        <v>86</v>
      </c>
      <c r="B12" s="121">
        <f>SUM(B9:B11)</f>
        <v>9910</v>
      </c>
      <c r="C12" s="122">
        <f>SUM(C9:C11)</f>
        <v>10208</v>
      </c>
      <c r="D12" s="118">
        <f t="shared" si="0"/>
        <v>3.0070635721493488E-2</v>
      </c>
      <c r="E12" s="122">
        <f>SUM(E9:E11)</f>
        <v>10516</v>
      </c>
      <c r="F12" s="118">
        <f>IF(E12=0,"%",E12/C12-1)</f>
        <v>3.0172413793103425E-2</v>
      </c>
    </row>
    <row r="13" spans="1:6" ht="15" x14ac:dyDescent="0.2">
      <c r="A13" s="113" t="s">
        <v>87</v>
      </c>
      <c r="B13" s="125">
        <v>17428</v>
      </c>
      <c r="C13" s="128">
        <f>ROUND(B13*1.03,0)+1</f>
        <v>17952</v>
      </c>
      <c r="D13" s="117">
        <f t="shared" si="0"/>
        <v>3.0066559559329908E-2</v>
      </c>
      <c r="E13" s="126">
        <f>ROUND(C13*1.03,0)+1</f>
        <v>18492</v>
      </c>
      <c r="F13" s="117">
        <f t="shared" si="1"/>
        <v>3.0080213903743269E-2</v>
      </c>
    </row>
    <row r="14" spans="1:6" ht="15" x14ac:dyDescent="0.2">
      <c r="A14" s="113" t="s">
        <v>88</v>
      </c>
      <c r="B14" s="125">
        <v>760</v>
      </c>
      <c r="C14" s="128">
        <v>760</v>
      </c>
      <c r="D14" s="117">
        <f t="shared" si="0"/>
        <v>0</v>
      </c>
      <c r="E14" s="126">
        <v>760</v>
      </c>
      <c r="F14" s="117">
        <f t="shared" si="1"/>
        <v>0</v>
      </c>
    </row>
    <row r="15" spans="1:6" ht="15" x14ac:dyDescent="0.2">
      <c r="A15" s="114" t="s">
        <v>89</v>
      </c>
      <c r="B15" s="125">
        <v>3984</v>
      </c>
      <c r="C15" s="128">
        <v>4104</v>
      </c>
      <c r="D15" s="118">
        <f t="shared" si="0"/>
        <v>3.0120481927710774E-2</v>
      </c>
      <c r="E15" s="126">
        <v>4228</v>
      </c>
      <c r="F15" s="118">
        <f t="shared" si="1"/>
        <v>3.0214424951267027E-2</v>
      </c>
    </row>
    <row r="16" spans="1:6" ht="15" x14ac:dyDescent="0.2">
      <c r="A16" s="120" t="s">
        <v>90</v>
      </c>
      <c r="B16" s="121">
        <f>SUM(B13:B15)</f>
        <v>22172</v>
      </c>
      <c r="C16" s="122">
        <f>SUM(C13:C15)</f>
        <v>22816</v>
      </c>
      <c r="D16" s="118">
        <f t="shared" ref="D16" si="2">IF(C16=0,"%",C16/B16-1)</f>
        <v>2.9045643153526868E-2</v>
      </c>
      <c r="E16" s="122">
        <f>SUM(E13:E15)</f>
        <v>23480</v>
      </c>
      <c r="F16" s="118">
        <f>IF(E16=0,"%",E16/C16-1)</f>
        <v>2.910238429172507E-2</v>
      </c>
    </row>
    <row r="19" spans="3:5" x14ac:dyDescent="0.2">
      <c r="C19" s="384"/>
    </row>
    <row r="21" spans="3:5" x14ac:dyDescent="0.2">
      <c r="E21" s="384"/>
    </row>
    <row r="22" spans="3:5" x14ac:dyDescent="0.2">
      <c r="C22" s="384"/>
      <c r="E22" s="384"/>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7"/>
  <sheetViews>
    <sheetView topLeftCell="K4" zoomScaleNormal="100" zoomScalePageLayoutView="150" workbookViewId="0">
      <selection activeCell="M11" sqref="M11"/>
    </sheetView>
  </sheetViews>
  <sheetFormatPr defaultColWidth="8.5703125" defaultRowHeight="12.75" x14ac:dyDescent="0.2"/>
  <cols>
    <col min="1" max="1" width="39.5703125" customWidth="1"/>
    <col min="2" max="2" width="19.140625" bestFit="1" customWidth="1"/>
    <col min="3" max="3" width="20.5703125" customWidth="1"/>
    <col min="4" max="4" width="7.85546875" style="155" bestFit="1" customWidth="1"/>
    <col min="5" max="5" width="20.5703125" customWidth="1"/>
    <col min="6" max="6" width="7.42578125" style="155" customWidth="1"/>
    <col min="7" max="7" width="20.5703125" customWidth="1"/>
    <col min="8" max="8" width="7.42578125" style="155" customWidth="1"/>
    <col min="9" max="9" width="23.140625" bestFit="1" customWidth="1"/>
    <col min="10" max="10" width="7.42578125" style="155" customWidth="1"/>
    <col min="11" max="11" width="23.140625" bestFit="1" customWidth="1"/>
    <col min="12" max="12" width="7.42578125" style="155" customWidth="1"/>
    <col min="13" max="13" width="23.140625" bestFit="1" customWidth="1"/>
    <col min="14" max="14" width="7.42578125" style="155" customWidth="1"/>
    <col min="15" max="15" width="23.140625" bestFit="1" customWidth="1"/>
    <col min="16" max="16" width="7.42578125" style="155" customWidth="1"/>
    <col min="17" max="17" width="15.140625" bestFit="1" customWidth="1"/>
  </cols>
  <sheetData>
    <row r="1" spans="1:18" s="1" customFormat="1" ht="20.100000000000001" customHeight="1" x14ac:dyDescent="0.2">
      <c r="A1" s="54" t="s">
        <v>91</v>
      </c>
      <c r="B1" s="54"/>
      <c r="C1" s="54"/>
      <c r="D1" s="150"/>
      <c r="E1" s="54"/>
      <c r="F1" s="150"/>
      <c r="G1" s="54"/>
      <c r="H1" s="150"/>
      <c r="J1" s="150"/>
      <c r="L1" s="150"/>
      <c r="N1" s="150"/>
      <c r="P1" s="150"/>
    </row>
    <row r="2" spans="1:18" s="1" customFormat="1" ht="20.100000000000001" customHeight="1" x14ac:dyDescent="0.2">
      <c r="A2" s="428" t="str">
        <f>'Institution ID'!C3</f>
        <v>Institution Name:   Norfolk State University</v>
      </c>
      <c r="B2" s="428"/>
      <c r="C2" s="428"/>
      <c r="D2" s="428"/>
      <c r="E2" s="428"/>
      <c r="F2" s="428"/>
      <c r="G2" s="428"/>
      <c r="H2" s="376"/>
    </row>
    <row r="3" spans="1:18" s="2" customFormat="1" ht="147" customHeight="1" x14ac:dyDescent="0.2">
      <c r="A3" s="430" t="s">
        <v>92</v>
      </c>
      <c r="B3" s="431"/>
      <c r="C3" s="431"/>
      <c r="D3" s="431"/>
      <c r="E3" s="431"/>
      <c r="F3" s="431"/>
      <c r="G3" s="432"/>
      <c r="H3" s="149"/>
      <c r="I3" s="433" t="s">
        <v>93</v>
      </c>
      <c r="J3" s="434"/>
      <c r="K3" s="434"/>
      <c r="L3" s="434"/>
      <c r="M3" s="434"/>
      <c r="N3" s="434"/>
      <c r="O3" s="435"/>
    </row>
    <row r="4" spans="1:18" ht="15" customHeight="1" x14ac:dyDescent="0.2">
      <c r="A4" s="429" t="s">
        <v>94</v>
      </c>
      <c r="B4" s="101" t="s">
        <v>95</v>
      </c>
      <c r="C4" s="101" t="s">
        <v>96</v>
      </c>
      <c r="D4" s="151"/>
      <c r="E4" s="101" t="s">
        <v>97</v>
      </c>
      <c r="F4" s="151"/>
      <c r="G4" s="101" t="s">
        <v>98</v>
      </c>
      <c r="H4" s="151"/>
      <c r="I4" s="101" t="s">
        <v>99</v>
      </c>
      <c r="J4" s="151"/>
      <c r="K4" s="101" t="s">
        <v>100</v>
      </c>
      <c r="L4" s="151"/>
      <c r="M4" s="133" t="s">
        <v>101</v>
      </c>
      <c r="N4" s="151"/>
      <c r="O4" s="101" t="s">
        <v>102</v>
      </c>
      <c r="P4" s="151"/>
    </row>
    <row r="5" spans="1:18" ht="30" customHeight="1" x14ac:dyDescent="0.2">
      <c r="A5" s="429"/>
      <c r="B5" s="102" t="s">
        <v>103</v>
      </c>
      <c r="C5" s="102" t="s">
        <v>103</v>
      </c>
      <c r="D5" s="156" t="s">
        <v>104</v>
      </c>
      <c r="E5" s="102" t="s">
        <v>105</v>
      </c>
      <c r="F5" s="156" t="s">
        <v>104</v>
      </c>
      <c r="G5" s="102" t="s">
        <v>105</v>
      </c>
      <c r="H5" s="156" t="s">
        <v>104</v>
      </c>
      <c r="I5" s="102" t="s">
        <v>106</v>
      </c>
      <c r="J5" s="156" t="s">
        <v>104</v>
      </c>
      <c r="K5" s="102" t="s">
        <v>106</v>
      </c>
      <c r="L5" s="156" t="s">
        <v>104</v>
      </c>
      <c r="M5" s="102" t="s">
        <v>106</v>
      </c>
      <c r="N5" s="156" t="s">
        <v>104</v>
      </c>
      <c r="O5" s="102" t="s">
        <v>106</v>
      </c>
      <c r="P5" s="156" t="s">
        <v>104</v>
      </c>
      <c r="Q5" s="130" t="s">
        <v>107</v>
      </c>
      <c r="R5" s="157" t="s">
        <v>108</v>
      </c>
    </row>
    <row r="6" spans="1:18" ht="15" customHeight="1" x14ac:dyDescent="0.2">
      <c r="A6" s="103" t="s">
        <v>109</v>
      </c>
      <c r="B6" s="103"/>
      <c r="C6" s="103"/>
      <c r="D6" s="152"/>
      <c r="E6" s="103"/>
      <c r="F6" s="152"/>
      <c r="G6" s="103"/>
      <c r="H6" s="152"/>
      <c r="J6" s="152"/>
      <c r="L6" s="152"/>
      <c r="N6" s="152"/>
      <c r="O6" s="119"/>
      <c r="P6" s="152"/>
      <c r="Q6" s="129"/>
      <c r="R6" s="158"/>
    </row>
    <row r="7" spans="1:18" ht="15" customHeight="1" x14ac:dyDescent="0.2">
      <c r="A7" s="104" t="s">
        <v>110</v>
      </c>
      <c r="B7" s="105">
        <v>23230032.179999992</v>
      </c>
      <c r="C7" s="105">
        <v>22438276</v>
      </c>
      <c r="D7" s="152">
        <f>IF(B7=0,"%",C7/B7-1)</f>
        <v>-3.4083301041728964E-2</v>
      </c>
      <c r="E7" s="105">
        <v>23191497</v>
      </c>
      <c r="F7" s="152">
        <f>IF(C7=0,"%",E7/C7-1)</f>
        <v>3.3568577193720195E-2</v>
      </c>
      <c r="G7" s="105">
        <v>23935061</v>
      </c>
      <c r="H7" s="152">
        <f>IF(E7=0,"%",G7/E7-1)</f>
        <v>3.2061923385109603E-2</v>
      </c>
      <c r="I7" s="105">
        <v>24353716</v>
      </c>
      <c r="J7" s="152">
        <f>IF(G7=0,"%",I7/G7-1)</f>
        <v>1.7491286109527771E-2</v>
      </c>
      <c r="K7" s="105">
        <v>24669438</v>
      </c>
      <c r="L7" s="152">
        <f>IF(I7=0,"%",K7/I7-1)</f>
        <v>1.2964017482999246E-2</v>
      </c>
      <c r="M7" s="134">
        <v>24954417</v>
      </c>
      <c r="N7" s="152">
        <f>IF(K7=0,"%",M7/K7-1)</f>
        <v>1.1551904830584325E-2</v>
      </c>
      <c r="O7" s="105">
        <v>25616726</v>
      </c>
      <c r="P7" s="152">
        <f>IF(M7=0,"%",O7/M7-1)</f>
        <v>2.6540752284455182E-2</v>
      </c>
      <c r="Q7" s="129">
        <f>IF(O7=0,"%",O7/B7-1)</f>
        <v>0.10274173541846587</v>
      </c>
      <c r="R7" s="158">
        <f t="shared" ref="R7:R26" si="0">IF(B7=0,"%",(O7/B7)^(1/7)-1)</f>
        <v>1.4069422159490585E-2</v>
      </c>
    </row>
    <row r="8" spans="1:18" ht="15" customHeight="1" x14ac:dyDescent="0.2">
      <c r="A8" s="104" t="s">
        <v>111</v>
      </c>
      <c r="B8" s="105">
        <v>22574388.229999993</v>
      </c>
      <c r="C8" s="105">
        <v>22793767</v>
      </c>
      <c r="D8" s="152">
        <f>IF(B8=0,"%",C8/B8-1)</f>
        <v>9.718038325772449E-3</v>
      </c>
      <c r="E8" s="105">
        <v>24120007</v>
      </c>
      <c r="F8" s="152">
        <f>IF(C8=0,"%",E8/C8-1)</f>
        <v>5.8184327320710105E-2</v>
      </c>
      <c r="G8" s="105">
        <v>24974534</v>
      </c>
      <c r="H8" s="152">
        <f>IF(E8=0,"%",G8/E8-1)</f>
        <v>3.5428140630307414E-2</v>
      </c>
      <c r="I8" s="105">
        <v>25369716</v>
      </c>
      <c r="J8" s="152">
        <f>IF(G8=0,"%",I8/G8-1)</f>
        <v>1.5823398346491713E-2</v>
      </c>
      <c r="K8" s="105">
        <v>25681323</v>
      </c>
      <c r="L8" s="152">
        <f>IF(I8=0,"%",K8/I8-1)</f>
        <v>1.228263651039696E-2</v>
      </c>
      <c r="M8" s="134">
        <v>25959407</v>
      </c>
      <c r="N8" s="152">
        <f>IF(K8=0,"%",M8/K8-1)</f>
        <v>1.0828258341675001E-2</v>
      </c>
      <c r="O8" s="105">
        <v>26594360</v>
      </c>
      <c r="P8" s="152">
        <f>IF(M8=0,"%",O8/M8-1)</f>
        <v>2.445945702842911E-2</v>
      </c>
      <c r="Q8" s="129">
        <f t="shared" ref="Q8:Q26" si="1">IF(O8=0,"%",O8/B8-1)</f>
        <v>0.17807666498167629</v>
      </c>
      <c r="R8" s="158">
        <f t="shared" si="0"/>
        <v>2.3688089924677858E-2</v>
      </c>
    </row>
    <row r="9" spans="1:18" ht="15" customHeight="1" x14ac:dyDescent="0.2">
      <c r="A9" s="104" t="s">
        <v>112</v>
      </c>
      <c r="B9" s="105">
        <v>2373023.189999999</v>
      </c>
      <c r="C9" s="105">
        <v>2328949</v>
      </c>
      <c r="D9" s="152">
        <f t="shared" ref="D9:D26" si="2">IF(B9=0,"%",C9/B9-1)</f>
        <v>-1.8573012765205621E-2</v>
      </c>
      <c r="E9" s="105">
        <v>2560926</v>
      </c>
      <c r="F9" s="152">
        <f t="shared" ref="F9:P26" si="3">IF(C9=0,"%",E9/C9-1)</f>
        <v>9.9605873722438787E-2</v>
      </c>
      <c r="G9" s="105">
        <v>2755519</v>
      </c>
      <c r="H9" s="152">
        <f t="shared" si="3"/>
        <v>7.5985405279184182E-2</v>
      </c>
      <c r="I9" s="105">
        <v>2988797</v>
      </c>
      <c r="J9" s="152">
        <f t="shared" si="3"/>
        <v>8.4658461799755225E-2</v>
      </c>
      <c r="K9" s="105">
        <v>3089444</v>
      </c>
      <c r="L9" s="152">
        <f t="shared" si="3"/>
        <v>3.3674752751692294E-2</v>
      </c>
      <c r="M9" s="134">
        <v>3234965</v>
      </c>
      <c r="N9" s="152">
        <f t="shared" si="3"/>
        <v>4.7102650185599781E-2</v>
      </c>
      <c r="O9" s="105">
        <v>3645787</v>
      </c>
      <c r="P9" s="152">
        <f t="shared" si="3"/>
        <v>0.12699426423469795</v>
      </c>
      <c r="Q9" s="129">
        <f t="shared" si="1"/>
        <v>0.53634697518484908</v>
      </c>
      <c r="R9" s="158">
        <f t="shared" si="0"/>
        <v>6.3264539049223467E-2</v>
      </c>
    </row>
    <row r="10" spans="1:18" ht="15" customHeight="1" x14ac:dyDescent="0.2">
      <c r="A10" s="104" t="s">
        <v>113</v>
      </c>
      <c r="B10" s="105">
        <v>2278895.1300000013</v>
      </c>
      <c r="C10" s="105">
        <v>1531276</v>
      </c>
      <c r="D10" s="152">
        <f t="shared" si="2"/>
        <v>-0.32806210349837417</v>
      </c>
      <c r="E10" s="105">
        <v>1949522</v>
      </c>
      <c r="F10" s="152">
        <f t="shared" si="3"/>
        <v>0.27313560716683338</v>
      </c>
      <c r="G10" s="105">
        <v>2208372</v>
      </c>
      <c r="H10" s="152">
        <f t="shared" si="3"/>
        <v>0.13277613691971668</v>
      </c>
      <c r="I10" s="105">
        <v>2516197</v>
      </c>
      <c r="J10" s="152">
        <f t="shared" si="3"/>
        <v>0.13939001218997515</v>
      </c>
      <c r="K10" s="105">
        <v>2705527</v>
      </c>
      <c r="L10" s="152">
        <f t="shared" si="3"/>
        <v>7.5244505895206037E-2</v>
      </c>
      <c r="M10" s="134">
        <v>2934437</v>
      </c>
      <c r="N10" s="152">
        <f t="shared" si="3"/>
        <v>8.4608285188061405E-2</v>
      </c>
      <c r="O10" s="105">
        <v>3599673</v>
      </c>
      <c r="P10" s="152">
        <f t="shared" si="3"/>
        <v>0.22669970423628105</v>
      </c>
      <c r="Q10" s="129">
        <f t="shared" si="1"/>
        <v>0.57956939422657761</v>
      </c>
      <c r="R10" s="158">
        <f t="shared" si="0"/>
        <v>6.7487191868751184E-2</v>
      </c>
    </row>
    <row r="11" spans="1:18" ht="15" customHeight="1" x14ac:dyDescent="0.2">
      <c r="A11" s="104" t="s">
        <v>114</v>
      </c>
      <c r="B11" s="105">
        <f>0</f>
        <v>0</v>
      </c>
      <c r="C11" s="105">
        <f>0</f>
        <v>0</v>
      </c>
      <c r="D11" s="152" t="str">
        <f t="shared" si="2"/>
        <v>%</v>
      </c>
      <c r="E11" s="105">
        <f>0</f>
        <v>0</v>
      </c>
      <c r="F11" s="152" t="str">
        <f t="shared" si="3"/>
        <v>%</v>
      </c>
      <c r="G11" s="105">
        <f>0</f>
        <v>0</v>
      </c>
      <c r="H11" s="152" t="str">
        <f t="shared" si="3"/>
        <v>%</v>
      </c>
      <c r="I11" s="105">
        <f>0</f>
        <v>0</v>
      </c>
      <c r="J11" s="152" t="str">
        <f t="shared" si="3"/>
        <v>%</v>
      </c>
      <c r="K11" s="105">
        <f>0</f>
        <v>0</v>
      </c>
      <c r="L11" s="152" t="str">
        <f t="shared" si="3"/>
        <v>%</v>
      </c>
      <c r="M11" s="134">
        <f>0</f>
        <v>0</v>
      </c>
      <c r="N11" s="152" t="str">
        <f t="shared" si="3"/>
        <v>%</v>
      </c>
      <c r="O11" s="105">
        <f>0</f>
        <v>0</v>
      </c>
      <c r="P11" s="152" t="str">
        <f t="shared" si="3"/>
        <v>%</v>
      </c>
      <c r="Q11" s="129" t="str">
        <f t="shared" si="1"/>
        <v>%</v>
      </c>
      <c r="R11" s="158" t="str">
        <f t="shared" si="0"/>
        <v>%</v>
      </c>
    </row>
    <row r="12" spans="1:18" ht="15" customHeight="1" x14ac:dyDescent="0.2">
      <c r="A12" s="104" t="s">
        <v>115</v>
      </c>
      <c r="B12" s="105">
        <f>0</f>
        <v>0</v>
      </c>
      <c r="C12" s="105">
        <f>0</f>
        <v>0</v>
      </c>
      <c r="D12" s="152" t="str">
        <f t="shared" si="2"/>
        <v>%</v>
      </c>
      <c r="E12" s="105">
        <f>0</f>
        <v>0</v>
      </c>
      <c r="F12" s="152" t="str">
        <f t="shared" si="3"/>
        <v>%</v>
      </c>
      <c r="G12" s="105">
        <f>0</f>
        <v>0</v>
      </c>
      <c r="H12" s="152" t="str">
        <f t="shared" si="3"/>
        <v>%</v>
      </c>
      <c r="I12" s="105">
        <f>0</f>
        <v>0</v>
      </c>
      <c r="J12" s="152" t="str">
        <f t="shared" si="3"/>
        <v>%</v>
      </c>
      <c r="K12" s="105">
        <f>0</f>
        <v>0</v>
      </c>
      <c r="L12" s="152" t="str">
        <f t="shared" si="3"/>
        <v>%</v>
      </c>
      <c r="M12" s="134">
        <f>0</f>
        <v>0</v>
      </c>
      <c r="N12" s="152" t="str">
        <f t="shared" si="3"/>
        <v>%</v>
      </c>
      <c r="O12" s="105">
        <f>0</f>
        <v>0</v>
      </c>
      <c r="P12" s="152" t="str">
        <f t="shared" si="3"/>
        <v>%</v>
      </c>
      <c r="Q12" s="129" t="str">
        <f t="shared" si="1"/>
        <v>%</v>
      </c>
      <c r="R12" s="158" t="str">
        <f t="shared" si="0"/>
        <v>%</v>
      </c>
    </row>
    <row r="13" spans="1:18" ht="15" customHeight="1" x14ac:dyDescent="0.2">
      <c r="A13" s="104" t="s">
        <v>116</v>
      </c>
      <c r="B13" s="105">
        <f>0</f>
        <v>0</v>
      </c>
      <c r="C13" s="105">
        <f>0</f>
        <v>0</v>
      </c>
      <c r="D13" s="152" t="str">
        <f t="shared" si="2"/>
        <v>%</v>
      </c>
      <c r="E13" s="105">
        <f>0</f>
        <v>0</v>
      </c>
      <c r="F13" s="152" t="str">
        <f t="shared" si="3"/>
        <v>%</v>
      </c>
      <c r="G13" s="105">
        <f>0</f>
        <v>0</v>
      </c>
      <c r="H13" s="152" t="str">
        <f t="shared" si="3"/>
        <v>%</v>
      </c>
      <c r="I13" s="105">
        <f>0</f>
        <v>0</v>
      </c>
      <c r="J13" s="152" t="str">
        <f t="shared" si="3"/>
        <v>%</v>
      </c>
      <c r="K13" s="105">
        <f>0</f>
        <v>0</v>
      </c>
      <c r="L13" s="152" t="str">
        <f t="shared" si="3"/>
        <v>%</v>
      </c>
      <c r="M13" s="134">
        <f>0</f>
        <v>0</v>
      </c>
      <c r="N13" s="152" t="str">
        <f t="shared" si="3"/>
        <v>%</v>
      </c>
      <c r="O13" s="105">
        <f>0</f>
        <v>0</v>
      </c>
      <c r="P13" s="152" t="str">
        <f t="shared" si="3"/>
        <v>%</v>
      </c>
      <c r="Q13" s="129" t="str">
        <f t="shared" si="1"/>
        <v>%</v>
      </c>
      <c r="R13" s="158" t="str">
        <f t="shared" si="0"/>
        <v>%</v>
      </c>
    </row>
    <row r="14" spans="1:18" ht="15" customHeight="1" x14ac:dyDescent="0.2">
      <c r="A14" s="104" t="s">
        <v>117</v>
      </c>
      <c r="B14" s="105">
        <f>0</f>
        <v>0</v>
      </c>
      <c r="C14" s="105">
        <f>0</f>
        <v>0</v>
      </c>
      <c r="D14" s="152" t="str">
        <f t="shared" si="2"/>
        <v>%</v>
      </c>
      <c r="E14" s="105">
        <f>0</f>
        <v>0</v>
      </c>
      <c r="F14" s="152" t="str">
        <f t="shared" si="3"/>
        <v>%</v>
      </c>
      <c r="G14" s="105">
        <f>0</f>
        <v>0</v>
      </c>
      <c r="H14" s="152" t="str">
        <f t="shared" si="3"/>
        <v>%</v>
      </c>
      <c r="I14" s="105">
        <f>0</f>
        <v>0</v>
      </c>
      <c r="J14" s="152" t="str">
        <f t="shared" si="3"/>
        <v>%</v>
      </c>
      <c r="K14" s="105">
        <f>0</f>
        <v>0</v>
      </c>
      <c r="L14" s="152" t="str">
        <f t="shared" si="3"/>
        <v>%</v>
      </c>
      <c r="M14" s="134">
        <f>0</f>
        <v>0</v>
      </c>
      <c r="N14" s="152" t="str">
        <f t="shared" si="3"/>
        <v>%</v>
      </c>
      <c r="O14" s="105">
        <f>0</f>
        <v>0</v>
      </c>
      <c r="P14" s="152" t="str">
        <f t="shared" si="3"/>
        <v>%</v>
      </c>
      <c r="Q14" s="129" t="str">
        <f t="shared" si="1"/>
        <v>%</v>
      </c>
      <c r="R14" s="158" t="str">
        <f t="shared" si="0"/>
        <v>%</v>
      </c>
    </row>
    <row r="15" spans="1:18" ht="15" customHeight="1" x14ac:dyDescent="0.2">
      <c r="A15" s="104" t="s">
        <v>118</v>
      </c>
      <c r="B15" s="105">
        <f>0</f>
        <v>0</v>
      </c>
      <c r="C15" s="105">
        <f>0</f>
        <v>0</v>
      </c>
      <c r="D15" s="152" t="str">
        <f t="shared" si="2"/>
        <v>%</v>
      </c>
      <c r="E15" s="105">
        <f>0</f>
        <v>0</v>
      </c>
      <c r="F15" s="152" t="str">
        <f t="shared" si="3"/>
        <v>%</v>
      </c>
      <c r="G15" s="105">
        <f>0</f>
        <v>0</v>
      </c>
      <c r="H15" s="152" t="str">
        <f t="shared" si="3"/>
        <v>%</v>
      </c>
      <c r="I15" s="105">
        <f>0</f>
        <v>0</v>
      </c>
      <c r="J15" s="152" t="str">
        <f t="shared" si="3"/>
        <v>%</v>
      </c>
      <c r="K15" s="105">
        <f>0</f>
        <v>0</v>
      </c>
      <c r="L15" s="152" t="str">
        <f t="shared" si="3"/>
        <v>%</v>
      </c>
      <c r="M15" s="134">
        <f>0</f>
        <v>0</v>
      </c>
      <c r="N15" s="152" t="str">
        <f t="shared" si="3"/>
        <v>%</v>
      </c>
      <c r="O15" s="105">
        <f>0</f>
        <v>0</v>
      </c>
      <c r="P15" s="152" t="str">
        <f t="shared" si="3"/>
        <v>%</v>
      </c>
      <c r="Q15" s="129" t="str">
        <f t="shared" si="1"/>
        <v>%</v>
      </c>
      <c r="R15" s="158" t="str">
        <f t="shared" si="0"/>
        <v>%</v>
      </c>
    </row>
    <row r="16" spans="1:18" ht="15" customHeight="1" x14ac:dyDescent="0.2">
      <c r="A16" s="104" t="s">
        <v>119</v>
      </c>
      <c r="B16" s="105">
        <f>0</f>
        <v>0</v>
      </c>
      <c r="C16" s="105">
        <f>0</f>
        <v>0</v>
      </c>
      <c r="D16" s="152" t="str">
        <f t="shared" si="2"/>
        <v>%</v>
      </c>
      <c r="E16" s="105">
        <f>0</f>
        <v>0</v>
      </c>
      <c r="F16" s="152" t="str">
        <f t="shared" si="3"/>
        <v>%</v>
      </c>
      <c r="G16" s="105">
        <f>0</f>
        <v>0</v>
      </c>
      <c r="H16" s="152" t="str">
        <f t="shared" si="3"/>
        <v>%</v>
      </c>
      <c r="I16" s="105">
        <f>0</f>
        <v>0</v>
      </c>
      <c r="J16" s="152" t="str">
        <f t="shared" si="3"/>
        <v>%</v>
      </c>
      <c r="K16" s="105">
        <f>0</f>
        <v>0</v>
      </c>
      <c r="L16" s="152" t="str">
        <f t="shared" si="3"/>
        <v>%</v>
      </c>
      <c r="M16" s="134">
        <f>0</f>
        <v>0</v>
      </c>
      <c r="N16" s="152" t="str">
        <f t="shared" si="3"/>
        <v>%</v>
      </c>
      <c r="O16" s="105">
        <f>0</f>
        <v>0</v>
      </c>
      <c r="P16" s="152" t="str">
        <f t="shared" si="3"/>
        <v>%</v>
      </c>
      <c r="Q16" s="129" t="str">
        <f t="shared" si="1"/>
        <v>%</v>
      </c>
      <c r="R16" s="158" t="str">
        <f t="shared" si="0"/>
        <v>%</v>
      </c>
    </row>
    <row r="17" spans="1:18" ht="15" customHeight="1" x14ac:dyDescent="0.2">
      <c r="A17" s="104" t="s">
        <v>120</v>
      </c>
      <c r="B17" s="105">
        <f>0</f>
        <v>0</v>
      </c>
      <c r="C17" s="105">
        <f>0</f>
        <v>0</v>
      </c>
      <c r="D17" s="152" t="str">
        <f t="shared" si="2"/>
        <v>%</v>
      </c>
      <c r="E17" s="105">
        <f>0</f>
        <v>0</v>
      </c>
      <c r="F17" s="152" t="str">
        <f t="shared" si="3"/>
        <v>%</v>
      </c>
      <c r="G17" s="105">
        <f>0</f>
        <v>0</v>
      </c>
      <c r="H17" s="152" t="str">
        <f t="shared" si="3"/>
        <v>%</v>
      </c>
      <c r="I17" s="105">
        <f>0</f>
        <v>0</v>
      </c>
      <c r="J17" s="152" t="str">
        <f t="shared" si="3"/>
        <v>%</v>
      </c>
      <c r="K17" s="105">
        <f>0</f>
        <v>0</v>
      </c>
      <c r="L17" s="152" t="str">
        <f t="shared" si="3"/>
        <v>%</v>
      </c>
      <c r="M17" s="134">
        <f>0</f>
        <v>0</v>
      </c>
      <c r="N17" s="152" t="str">
        <f t="shared" si="3"/>
        <v>%</v>
      </c>
      <c r="O17" s="105">
        <f>0</f>
        <v>0</v>
      </c>
      <c r="P17" s="152" t="str">
        <f t="shared" si="3"/>
        <v>%</v>
      </c>
      <c r="Q17" s="129" t="str">
        <f t="shared" si="1"/>
        <v>%</v>
      </c>
      <c r="R17" s="158" t="str">
        <f t="shared" si="0"/>
        <v>%</v>
      </c>
    </row>
    <row r="18" spans="1:18" ht="15" customHeight="1" x14ac:dyDescent="0.2">
      <c r="A18" s="104" t="s">
        <v>121</v>
      </c>
      <c r="B18" s="105">
        <f>0</f>
        <v>0</v>
      </c>
      <c r="C18" s="105">
        <f>0</f>
        <v>0</v>
      </c>
      <c r="D18" s="152" t="str">
        <f t="shared" si="2"/>
        <v>%</v>
      </c>
      <c r="E18" s="105">
        <f>0</f>
        <v>0</v>
      </c>
      <c r="F18" s="152" t="str">
        <f t="shared" si="3"/>
        <v>%</v>
      </c>
      <c r="G18" s="105">
        <f>0</f>
        <v>0</v>
      </c>
      <c r="H18" s="152" t="str">
        <f t="shared" si="3"/>
        <v>%</v>
      </c>
      <c r="I18" s="105">
        <f>0</f>
        <v>0</v>
      </c>
      <c r="J18" s="152" t="str">
        <f t="shared" si="3"/>
        <v>%</v>
      </c>
      <c r="K18" s="105">
        <f>0</f>
        <v>0</v>
      </c>
      <c r="L18" s="152" t="str">
        <f t="shared" si="3"/>
        <v>%</v>
      </c>
      <c r="M18" s="134">
        <f>0</f>
        <v>0</v>
      </c>
      <c r="N18" s="152" t="str">
        <f t="shared" si="3"/>
        <v>%</v>
      </c>
      <c r="O18" s="105">
        <f>0</f>
        <v>0</v>
      </c>
      <c r="P18" s="152" t="str">
        <f t="shared" si="3"/>
        <v>%</v>
      </c>
      <c r="Q18" s="129" t="str">
        <f t="shared" si="1"/>
        <v>%</v>
      </c>
      <c r="R18" s="158" t="str">
        <f t="shared" si="0"/>
        <v>%</v>
      </c>
    </row>
    <row r="19" spans="1:18" ht="15" customHeight="1" x14ac:dyDescent="0.2">
      <c r="A19" s="104" t="s">
        <v>122</v>
      </c>
      <c r="B19" s="105">
        <f>0</f>
        <v>0</v>
      </c>
      <c r="C19" s="105">
        <f>0</f>
        <v>0</v>
      </c>
      <c r="D19" s="152" t="str">
        <f t="shared" si="2"/>
        <v>%</v>
      </c>
      <c r="E19" s="105">
        <f>0</f>
        <v>0</v>
      </c>
      <c r="F19" s="152" t="str">
        <f t="shared" si="3"/>
        <v>%</v>
      </c>
      <c r="G19" s="105">
        <f>0</f>
        <v>0</v>
      </c>
      <c r="H19" s="152" t="str">
        <f t="shared" si="3"/>
        <v>%</v>
      </c>
      <c r="I19" s="105">
        <f>0</f>
        <v>0</v>
      </c>
      <c r="J19" s="152" t="str">
        <f t="shared" si="3"/>
        <v>%</v>
      </c>
      <c r="K19" s="105">
        <f>0</f>
        <v>0</v>
      </c>
      <c r="L19" s="152" t="str">
        <f t="shared" si="3"/>
        <v>%</v>
      </c>
      <c r="M19" s="134">
        <f>0</f>
        <v>0</v>
      </c>
      <c r="N19" s="152" t="str">
        <f t="shared" si="3"/>
        <v>%</v>
      </c>
      <c r="O19" s="105">
        <f>0</f>
        <v>0</v>
      </c>
      <c r="P19" s="152" t="str">
        <f t="shared" si="3"/>
        <v>%</v>
      </c>
      <c r="Q19" s="129" t="str">
        <f t="shared" si="1"/>
        <v>%</v>
      </c>
      <c r="R19" s="158" t="str">
        <f t="shared" si="0"/>
        <v>%</v>
      </c>
    </row>
    <row r="20" spans="1:18" ht="15" customHeight="1" x14ac:dyDescent="0.2">
      <c r="A20" s="104" t="s">
        <v>123</v>
      </c>
      <c r="B20" s="105">
        <f>0</f>
        <v>0</v>
      </c>
      <c r="C20" s="105">
        <f>0</f>
        <v>0</v>
      </c>
      <c r="D20" s="152" t="str">
        <f t="shared" si="2"/>
        <v>%</v>
      </c>
      <c r="E20" s="105">
        <f>0</f>
        <v>0</v>
      </c>
      <c r="F20" s="152" t="str">
        <f t="shared" si="3"/>
        <v>%</v>
      </c>
      <c r="G20" s="105">
        <f>0</f>
        <v>0</v>
      </c>
      <c r="H20" s="152" t="str">
        <f t="shared" si="3"/>
        <v>%</v>
      </c>
      <c r="I20" s="105">
        <f>0</f>
        <v>0</v>
      </c>
      <c r="J20" s="152" t="str">
        <f t="shared" si="3"/>
        <v>%</v>
      </c>
      <c r="K20" s="105">
        <f>0</f>
        <v>0</v>
      </c>
      <c r="L20" s="152" t="str">
        <f t="shared" si="3"/>
        <v>%</v>
      </c>
      <c r="M20" s="134">
        <f>0</f>
        <v>0</v>
      </c>
      <c r="N20" s="152" t="str">
        <f t="shared" si="3"/>
        <v>%</v>
      </c>
      <c r="O20" s="105">
        <f>0</f>
        <v>0</v>
      </c>
      <c r="P20" s="152" t="str">
        <f t="shared" si="3"/>
        <v>%</v>
      </c>
      <c r="Q20" s="129" t="str">
        <f t="shared" si="1"/>
        <v>%</v>
      </c>
      <c r="R20" s="158" t="str">
        <f t="shared" si="0"/>
        <v>%</v>
      </c>
    </row>
    <row r="21" spans="1:18" ht="15" customHeight="1" x14ac:dyDescent="0.2">
      <c r="A21" s="131" t="s">
        <v>124</v>
      </c>
      <c r="B21" s="107">
        <f>SUM(B11,B13,B15,B17,B19)</f>
        <v>0</v>
      </c>
      <c r="C21" s="107">
        <f t="shared" ref="C21:G21" si="4">SUM(C11,C13,C15,C17,C19)</f>
        <v>0</v>
      </c>
      <c r="D21" s="152" t="str">
        <f t="shared" si="2"/>
        <v>%</v>
      </c>
      <c r="E21" s="107">
        <f t="shared" si="4"/>
        <v>0</v>
      </c>
      <c r="F21" s="152" t="str">
        <f t="shared" si="3"/>
        <v>%</v>
      </c>
      <c r="G21" s="107">
        <f t="shared" si="4"/>
        <v>0</v>
      </c>
      <c r="H21" s="152" t="str">
        <f t="shared" si="3"/>
        <v>%</v>
      </c>
      <c r="I21" s="107">
        <f t="shared" ref="I21:O21" si="5">SUM(I11,I13,I15,I17,I19)</f>
        <v>0</v>
      </c>
      <c r="J21" s="152" t="str">
        <f t="shared" si="3"/>
        <v>%</v>
      </c>
      <c r="K21" s="107">
        <f t="shared" si="5"/>
        <v>0</v>
      </c>
      <c r="L21" s="152" t="str">
        <f t="shared" si="3"/>
        <v>%</v>
      </c>
      <c r="M21" s="135">
        <f t="shared" si="5"/>
        <v>0</v>
      </c>
      <c r="N21" s="152" t="str">
        <f t="shared" si="3"/>
        <v>%</v>
      </c>
      <c r="O21" s="107">
        <f t="shared" si="5"/>
        <v>0</v>
      </c>
      <c r="P21" s="152" t="str">
        <f t="shared" si="3"/>
        <v>%</v>
      </c>
      <c r="Q21" s="129" t="str">
        <f t="shared" si="1"/>
        <v>%</v>
      </c>
      <c r="R21" s="158" t="str">
        <f t="shared" si="0"/>
        <v>%</v>
      </c>
    </row>
    <row r="22" spans="1:18" ht="15" customHeight="1" x14ac:dyDescent="0.2">
      <c r="A22" s="131" t="s">
        <v>125</v>
      </c>
      <c r="B22" s="107">
        <f>SUM(B12,B14,B16,B18,B20)</f>
        <v>0</v>
      </c>
      <c r="C22" s="107">
        <f t="shared" ref="C22:G22" si="6">SUM(C12,C14,C16,C18,C20)</f>
        <v>0</v>
      </c>
      <c r="D22" s="152" t="str">
        <f t="shared" si="2"/>
        <v>%</v>
      </c>
      <c r="E22" s="107">
        <f t="shared" si="6"/>
        <v>0</v>
      </c>
      <c r="F22" s="152" t="str">
        <f t="shared" si="3"/>
        <v>%</v>
      </c>
      <c r="G22" s="107">
        <f t="shared" si="6"/>
        <v>0</v>
      </c>
      <c r="H22" s="152" t="str">
        <f t="shared" si="3"/>
        <v>%</v>
      </c>
      <c r="I22" s="107">
        <f t="shared" ref="I22:O22" si="7">SUM(I12,I14,I16,I18,I20)</f>
        <v>0</v>
      </c>
      <c r="J22" s="152" t="str">
        <f t="shared" si="3"/>
        <v>%</v>
      </c>
      <c r="K22" s="107">
        <f t="shared" si="7"/>
        <v>0</v>
      </c>
      <c r="L22" s="152" t="str">
        <f t="shared" si="3"/>
        <v>%</v>
      </c>
      <c r="M22" s="135">
        <f t="shared" si="7"/>
        <v>0</v>
      </c>
      <c r="N22" s="152" t="str">
        <f t="shared" si="3"/>
        <v>%</v>
      </c>
      <c r="O22" s="107">
        <f t="shared" si="7"/>
        <v>0</v>
      </c>
      <c r="P22" s="152" t="str">
        <f t="shared" si="3"/>
        <v>%</v>
      </c>
      <c r="Q22" s="129" t="str">
        <f t="shared" si="1"/>
        <v>%</v>
      </c>
      <c r="R22" s="158" t="str">
        <f t="shared" si="0"/>
        <v>%</v>
      </c>
    </row>
    <row r="23" spans="1:18" ht="15" customHeight="1" x14ac:dyDescent="0.2">
      <c r="A23" s="106" t="s">
        <v>126</v>
      </c>
      <c r="B23" s="105">
        <v>1115842</v>
      </c>
      <c r="C23" s="105">
        <v>1044106</v>
      </c>
      <c r="D23" s="152">
        <f t="shared" si="2"/>
        <v>-6.4288671693662702E-2</v>
      </c>
      <c r="E23" s="105">
        <v>1044106</v>
      </c>
      <c r="F23" s="152">
        <f t="shared" si="3"/>
        <v>0</v>
      </c>
      <c r="G23" s="105">
        <v>1044106</v>
      </c>
      <c r="H23" s="152">
        <f t="shared" si="3"/>
        <v>0</v>
      </c>
      <c r="I23" s="105">
        <v>1044106</v>
      </c>
      <c r="J23" s="152">
        <f t="shared" si="3"/>
        <v>0</v>
      </c>
      <c r="K23" s="105">
        <v>1044106</v>
      </c>
      <c r="L23" s="152">
        <f t="shared" si="3"/>
        <v>0</v>
      </c>
      <c r="M23" s="105">
        <v>1044106</v>
      </c>
      <c r="N23" s="152">
        <f t="shared" si="3"/>
        <v>0</v>
      </c>
      <c r="O23" s="105">
        <v>1044106</v>
      </c>
      <c r="P23" s="152">
        <f t="shared" si="3"/>
        <v>0</v>
      </c>
      <c r="Q23" s="129">
        <f t="shared" si="1"/>
        <v>-6.4288671693662702E-2</v>
      </c>
      <c r="R23" s="158">
        <f t="shared" si="0"/>
        <v>-9.4476959878105893E-3</v>
      </c>
    </row>
    <row r="24" spans="1:18" ht="15" customHeight="1" x14ac:dyDescent="0.2">
      <c r="A24" s="132" t="s">
        <v>127</v>
      </c>
      <c r="B24" s="107">
        <f>SUM(B7:B20,B23)</f>
        <v>51572180.729999982</v>
      </c>
      <c r="C24" s="107">
        <f>SUM(C7:C20,C23)</f>
        <v>50136374</v>
      </c>
      <c r="D24" s="152">
        <f t="shared" ref="D24" si="8">IF(B24=0,"%",C24/B24-1)</f>
        <v>-2.7840721677389935E-2</v>
      </c>
      <c r="E24" s="107">
        <f>SUM(E7:E20,E23)</f>
        <v>52866058</v>
      </c>
      <c r="F24" s="152">
        <f t="shared" ref="F24" si="9">IF(C24=0,"%",E24/C24-1)</f>
        <v>5.4445181855393043E-2</v>
      </c>
      <c r="G24" s="107">
        <f>SUM(G7:G20,G23)</f>
        <v>54917592</v>
      </c>
      <c r="H24" s="152">
        <f t="shared" ref="H24" si="10">IF(E24=0,"%",G24/E24-1)</f>
        <v>3.8806260152780769E-2</v>
      </c>
      <c r="I24" s="107">
        <f>SUM(I7:I20,I23)</f>
        <v>56272532</v>
      </c>
      <c r="J24" s="152">
        <f t="shared" ref="J24" si="11">IF(G24=0,"%",I24/G24-1)</f>
        <v>2.4672239817070007E-2</v>
      </c>
      <c r="K24" s="107">
        <f>SUM(K7:K20,K23)</f>
        <v>57189838</v>
      </c>
      <c r="L24" s="152">
        <f t="shared" ref="L24" si="12">IF(I24=0,"%",K24/I24-1)</f>
        <v>1.6301132495690762E-2</v>
      </c>
      <c r="M24" s="107">
        <f>SUM(M7:M20,M23)</f>
        <v>58127332</v>
      </c>
      <c r="N24" s="152">
        <f t="shared" ref="N24" si="13">IF(K24=0,"%",M24/K24-1)</f>
        <v>1.6392667522506343E-2</v>
      </c>
      <c r="O24" s="107">
        <f>SUM(O7:O20,O23)</f>
        <v>60500652</v>
      </c>
      <c r="P24" s="152">
        <f t="shared" ref="P24" si="14">IF(M24=0,"%",O24/M24-1)</f>
        <v>4.0829673723886017E-2</v>
      </c>
      <c r="Q24" s="129">
        <f t="shared" si="1"/>
        <v>0.17312572677009652</v>
      </c>
      <c r="R24" s="158">
        <f t="shared" ref="R24" si="15">IF(B24=0,"%",(O24/B24)^(1/7)-1)</f>
        <v>2.3072392830952859E-2</v>
      </c>
    </row>
    <row r="25" spans="1:18" ht="15" customHeight="1" x14ac:dyDescent="0.2">
      <c r="A25" s="159" t="s">
        <v>128</v>
      </c>
      <c r="B25" s="160">
        <v>80759172</v>
      </c>
      <c r="C25" s="160">
        <v>78273131</v>
      </c>
      <c r="D25" s="152">
        <f t="shared" ref="D25" si="16">IF(B25=0,"%",C25/B25-1)</f>
        <v>-3.0783388913397935E-2</v>
      </c>
      <c r="E25" s="107">
        <f>C25</f>
        <v>78273131</v>
      </c>
      <c r="F25" s="152">
        <f t="shared" ref="F25" si="17">IF(C25=0,"%",E25/C25-1)</f>
        <v>0</v>
      </c>
      <c r="G25" s="107">
        <f>E25</f>
        <v>78273131</v>
      </c>
      <c r="H25" s="152">
        <f t="shared" ref="H25" si="18">IF(E25=0,"%",G25/E25-1)</f>
        <v>0</v>
      </c>
      <c r="I25" s="107">
        <f>G25</f>
        <v>78273131</v>
      </c>
      <c r="J25" s="152">
        <f t="shared" ref="J25" si="19">IF(G25=0,"%",I25/G25-1)</f>
        <v>0</v>
      </c>
      <c r="K25" s="107">
        <f>I25</f>
        <v>78273131</v>
      </c>
      <c r="L25" s="152">
        <f t="shared" ref="L25" si="20">IF(I25=0,"%",K25/I25-1)</f>
        <v>0</v>
      </c>
      <c r="M25" s="107">
        <f>K25</f>
        <v>78273131</v>
      </c>
      <c r="N25" s="152">
        <f t="shared" ref="N25" si="21">IF(K25=0,"%",M25/K25-1)</f>
        <v>0</v>
      </c>
      <c r="O25" s="107">
        <f>M25</f>
        <v>78273131</v>
      </c>
      <c r="P25" s="152">
        <f t="shared" ref="P25" si="22">IF(M25=0,"%",O25/M25-1)</f>
        <v>0</v>
      </c>
      <c r="Q25" s="129">
        <f t="shared" si="1"/>
        <v>-3.0783388913397935E-2</v>
      </c>
      <c r="R25" s="158">
        <f t="shared" ref="R25" si="23">IF(B25=0,"%",(O25/B25)^(1/7)-1)</f>
        <v>-4.4567748604149582E-3</v>
      </c>
    </row>
    <row r="26" spans="1:18" ht="15" customHeight="1" x14ac:dyDescent="0.2">
      <c r="A26" s="132" t="s">
        <v>129</v>
      </c>
      <c r="B26" s="107">
        <f>B25+B24</f>
        <v>132331352.72999999</v>
      </c>
      <c r="C26" s="107">
        <f>C25+C24</f>
        <v>128409505</v>
      </c>
      <c r="D26" s="152">
        <f t="shared" si="2"/>
        <v>-2.9636572506002157E-2</v>
      </c>
      <c r="E26" s="107">
        <f>E25+E24</f>
        <v>131139189</v>
      </c>
      <c r="F26" s="152">
        <f t="shared" si="3"/>
        <v>2.1257647554984382E-2</v>
      </c>
      <c r="G26" s="107">
        <f>G25+G24</f>
        <v>133190723</v>
      </c>
      <c r="H26" s="152">
        <f t="shared" si="3"/>
        <v>1.5643943016911521E-2</v>
      </c>
      <c r="I26" s="107">
        <f>I25+I24</f>
        <v>134545663</v>
      </c>
      <c r="J26" s="152">
        <f t="shared" si="3"/>
        <v>1.0172930737826213E-2</v>
      </c>
      <c r="K26" s="107">
        <f>K25+K24</f>
        <v>135462969</v>
      </c>
      <c r="L26" s="152">
        <f t="shared" si="3"/>
        <v>6.8178043018747303E-3</v>
      </c>
      <c r="M26" s="107">
        <f>M25+M24</f>
        <v>136400463</v>
      </c>
      <c r="N26" s="152">
        <f t="shared" si="3"/>
        <v>6.9206662671035257E-3</v>
      </c>
      <c r="O26" s="107">
        <f>O25+O24</f>
        <v>138773783</v>
      </c>
      <c r="P26" s="152">
        <f t="shared" si="3"/>
        <v>1.7399647683014052E-2</v>
      </c>
      <c r="Q26" s="129">
        <f t="shared" si="1"/>
        <v>4.8684080809970443E-2</v>
      </c>
      <c r="R26" s="158">
        <f t="shared" si="0"/>
        <v>6.8139848169757045E-3</v>
      </c>
    </row>
    <row r="27" spans="1:18" ht="15" customHeight="1" x14ac:dyDescent="0.2">
      <c r="A27" s="91"/>
      <c r="B27" s="53"/>
      <c r="C27" s="53"/>
      <c r="D27" s="153"/>
      <c r="E27" s="53"/>
      <c r="F27" s="153"/>
      <c r="G27" s="53"/>
      <c r="H27" s="153"/>
      <c r="I27" s="53"/>
      <c r="J27" s="153"/>
      <c r="K27" s="53"/>
      <c r="L27" s="153"/>
      <c r="M27" s="53"/>
      <c r="N27" s="153"/>
      <c r="O27" s="53"/>
      <c r="P27" s="153"/>
    </row>
    <row r="28" spans="1:18" ht="15" customHeight="1" x14ac:dyDescent="0.2">
      <c r="A28" s="91"/>
      <c r="B28" s="53"/>
      <c r="C28" s="53"/>
      <c r="D28" s="153"/>
      <c r="E28" s="53"/>
      <c r="F28" s="153"/>
      <c r="G28" s="53"/>
      <c r="H28" s="153"/>
      <c r="J28" s="153"/>
      <c r="L28" s="153"/>
      <c r="N28" s="153"/>
      <c r="P28" s="153"/>
    </row>
    <row r="29" spans="1:18" ht="15" customHeight="1" x14ac:dyDescent="0.2">
      <c r="A29" s="79"/>
      <c r="B29" s="101" t="s">
        <v>95</v>
      </c>
      <c r="C29" s="101" t="s">
        <v>96</v>
      </c>
      <c r="D29" s="151"/>
      <c r="E29" s="101" t="s">
        <v>97</v>
      </c>
      <c r="F29" s="151"/>
      <c r="G29" s="101" t="s">
        <v>98</v>
      </c>
      <c r="H29" s="151"/>
      <c r="J29"/>
      <c r="L29"/>
      <c r="N29"/>
      <c r="P29"/>
    </row>
    <row r="30" spans="1:18" ht="15" customHeight="1" x14ac:dyDescent="0.2">
      <c r="A30" s="92" t="s">
        <v>130</v>
      </c>
      <c r="B30" s="93" t="s">
        <v>131</v>
      </c>
      <c r="C30" s="93" t="s">
        <v>131</v>
      </c>
      <c r="D30" s="156" t="s">
        <v>104</v>
      </c>
      <c r="E30" s="93" t="s">
        <v>131</v>
      </c>
      <c r="F30" s="156" t="s">
        <v>104</v>
      </c>
      <c r="G30" s="93" t="s">
        <v>131</v>
      </c>
      <c r="H30" s="156" t="s">
        <v>104</v>
      </c>
      <c r="J30"/>
      <c r="L30"/>
      <c r="N30"/>
      <c r="P30"/>
    </row>
    <row r="31" spans="1:18" ht="15" customHeight="1" x14ac:dyDescent="0.2">
      <c r="A31" s="106" t="s">
        <v>132</v>
      </c>
      <c r="B31" s="105">
        <v>12112228</v>
      </c>
      <c r="C31" s="105">
        <v>12467131</v>
      </c>
      <c r="D31" s="152">
        <f>IF(B31=0,"%",C31/B31-1)</f>
        <v>2.9301215267744318E-2</v>
      </c>
      <c r="E31" s="105">
        <v>12932320</v>
      </c>
      <c r="F31" s="152">
        <f>IF(C31=0,"%",E31/C31-1)</f>
        <v>3.7313235900063857E-2</v>
      </c>
      <c r="G31" s="105">
        <v>13363228</v>
      </c>
      <c r="H31" s="152">
        <f>IF(E31=0,"%",G31/E31-1)</f>
        <v>3.332023952392138E-2</v>
      </c>
      <c r="J31"/>
      <c r="L31"/>
      <c r="N31"/>
      <c r="P31"/>
    </row>
    <row r="32" spans="1:18" ht="15" customHeight="1" x14ac:dyDescent="0.2">
      <c r="A32" s="106" t="s">
        <v>133</v>
      </c>
      <c r="B32" s="105">
        <v>5787689</v>
      </c>
      <c r="C32" s="105">
        <v>5957275</v>
      </c>
      <c r="D32" s="152">
        <f t="shared" ref="D32:D34" si="24">IF(B32=0,"%",C32/B32-1)</f>
        <v>2.9301159754782979E-2</v>
      </c>
      <c r="E32" s="105">
        <v>6300461</v>
      </c>
      <c r="F32" s="152">
        <f t="shared" ref="F32:H34" si="25">IF(C32=0,"%",E32/C32-1)</f>
        <v>5.7607882798762944E-2</v>
      </c>
      <c r="G32" s="105">
        <v>6551075</v>
      </c>
      <c r="H32" s="152">
        <f t="shared" si="25"/>
        <v>3.9777089327273085E-2</v>
      </c>
      <c r="J32"/>
      <c r="L32"/>
      <c r="N32"/>
      <c r="P32"/>
    </row>
    <row r="33" spans="1:16" ht="15" customHeight="1" x14ac:dyDescent="0.2">
      <c r="A33" s="131" t="s">
        <v>134</v>
      </c>
      <c r="B33" s="107">
        <f>B32+B31</f>
        <v>17899917</v>
      </c>
      <c r="C33" s="107">
        <f>C32+C31</f>
        <v>18424406</v>
      </c>
      <c r="D33" s="152">
        <f t="shared" si="24"/>
        <v>2.9301197318400973E-2</v>
      </c>
      <c r="E33" s="107">
        <f t="shared" ref="E33:G33" si="26">E32+E31</f>
        <v>19232781</v>
      </c>
      <c r="F33" s="152">
        <f t="shared" si="25"/>
        <v>4.3875227239347669E-2</v>
      </c>
      <c r="G33" s="107">
        <f t="shared" si="26"/>
        <v>19914303</v>
      </c>
      <c r="H33" s="152">
        <f t="shared" si="25"/>
        <v>3.5435437028061623E-2</v>
      </c>
      <c r="J33"/>
      <c r="L33"/>
      <c r="N33"/>
      <c r="P33"/>
    </row>
    <row r="34" spans="1:16" ht="15" customHeight="1" x14ac:dyDescent="0.2">
      <c r="A34" s="108" t="s">
        <v>135</v>
      </c>
      <c r="B34" s="105">
        <v>52230159.990000002</v>
      </c>
      <c r="C34" s="105">
        <v>57295407</v>
      </c>
      <c r="D34" s="152">
        <f t="shared" si="24"/>
        <v>9.6979350838094058E-2</v>
      </c>
      <c r="E34" s="105">
        <v>59014269</v>
      </c>
      <c r="F34" s="152">
        <f t="shared" si="25"/>
        <v>2.9999996334784784E-2</v>
      </c>
      <c r="G34" s="105">
        <v>60784697</v>
      </c>
      <c r="H34" s="152">
        <f t="shared" si="25"/>
        <v>2.9999998813846185E-2</v>
      </c>
      <c r="J34"/>
      <c r="L34"/>
      <c r="N34"/>
      <c r="P34"/>
    </row>
    <row r="35" spans="1:16" ht="15" customHeight="1" x14ac:dyDescent="0.2">
      <c r="A35" s="94"/>
      <c r="B35" s="53"/>
      <c r="C35" s="53"/>
      <c r="D35" s="154"/>
      <c r="E35" s="53"/>
      <c r="F35" s="154"/>
      <c r="G35" s="53"/>
      <c r="H35" s="154"/>
      <c r="J35" s="154"/>
      <c r="L35" s="154"/>
      <c r="N35" s="154"/>
      <c r="P35" s="154"/>
    </row>
    <row r="37" spans="1:16" x14ac:dyDescent="0.2">
      <c r="E37" s="384"/>
      <c r="G37" s="384"/>
      <c r="I37" s="384"/>
      <c r="K37" s="384"/>
      <c r="M37" s="384"/>
      <c r="O37" s="384"/>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11:G20 B11:C20 E11: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11"/>
  <sheetViews>
    <sheetView topLeftCell="A46" zoomScaleNormal="100" workbookViewId="0">
      <selection activeCell="M66" sqref="M66"/>
    </sheetView>
  </sheetViews>
  <sheetFormatPr defaultColWidth="9.140625" defaultRowHeight="12.75" x14ac:dyDescent="0.2"/>
  <cols>
    <col min="1" max="1" width="31.140625" style="8" customWidth="1"/>
    <col min="2" max="5" width="17.5703125" style="8" customWidth="1"/>
    <col min="6" max="8" width="15.5703125" style="8" customWidth="1"/>
    <col min="9" max="9" width="15.5703125" style="140" customWidth="1"/>
    <col min="10" max="10" width="10.140625" style="8" bestFit="1" customWidth="1"/>
    <col min="11" max="12" width="9.140625" style="8"/>
    <col min="13" max="13" width="11.140625" style="8" bestFit="1" customWidth="1"/>
    <col min="14" max="14" width="0" style="8" hidden="1" customWidth="1"/>
    <col min="15" max="15" width="11.140625" style="8" hidden="1" customWidth="1"/>
    <col min="16" max="16" width="30" style="8" hidden="1" customWidth="1"/>
    <col min="17" max="18" width="12.7109375" style="8" hidden="1" customWidth="1"/>
    <col min="19" max="20" width="10.140625" style="8" hidden="1" customWidth="1"/>
    <col min="21" max="25" width="0" style="8" hidden="1" customWidth="1"/>
    <col min="26" max="16384" width="9.140625" style="8"/>
  </cols>
  <sheetData>
    <row r="1" spans="1:23" ht="20.100000000000001" customHeight="1" x14ac:dyDescent="0.2">
      <c r="A1" s="54" t="s">
        <v>136</v>
      </c>
      <c r="B1" s="54"/>
      <c r="C1" s="54"/>
      <c r="D1" s="54"/>
      <c r="E1" s="54"/>
    </row>
    <row r="2" spans="1:23" ht="20.100000000000001" customHeight="1" x14ac:dyDescent="0.2">
      <c r="A2" s="458" t="str">
        <f>'Institution ID'!C3</f>
        <v>Institution Name:   Norfolk State University</v>
      </c>
      <c r="B2" s="458"/>
      <c r="C2" s="458"/>
      <c r="D2" s="458"/>
      <c r="E2" s="458"/>
    </row>
    <row r="3" spans="1:23" s="7" customFormat="1" ht="70.5" customHeight="1" x14ac:dyDescent="0.2">
      <c r="A3" s="466" t="s">
        <v>137</v>
      </c>
      <c r="B3" s="467"/>
      <c r="C3" s="467"/>
      <c r="D3" s="467"/>
      <c r="E3" s="467"/>
      <c r="F3" s="467"/>
      <c r="G3" s="467"/>
      <c r="H3" s="467"/>
      <c r="I3" s="141"/>
    </row>
    <row r="4" spans="1:23" s="7" customFormat="1" ht="41.45" customHeight="1" x14ac:dyDescent="0.2">
      <c r="A4" s="466" t="s">
        <v>138</v>
      </c>
      <c r="B4" s="467"/>
      <c r="C4" s="467"/>
      <c r="D4" s="467"/>
      <c r="E4" s="467"/>
      <c r="F4" s="467"/>
      <c r="G4" s="467"/>
      <c r="H4" s="467"/>
      <c r="I4" s="141"/>
    </row>
    <row r="5" spans="1:23" s="10" customFormat="1" ht="38.1" customHeight="1" x14ac:dyDescent="0.2">
      <c r="A5" s="468" t="s">
        <v>139</v>
      </c>
      <c r="B5" s="469"/>
      <c r="C5" s="469"/>
      <c r="D5" s="469"/>
      <c r="E5" s="469"/>
      <c r="F5" s="469"/>
      <c r="G5" s="469"/>
      <c r="H5" s="469"/>
      <c r="I5" s="142"/>
    </row>
    <row r="6" spans="1:23" s="10" customFormat="1" ht="20.100000000000001" customHeight="1" x14ac:dyDescent="0.3">
      <c r="A6" s="470" t="s">
        <v>140</v>
      </c>
      <c r="B6" s="471"/>
      <c r="C6" s="471"/>
      <c r="D6" s="471"/>
      <c r="E6" s="471"/>
      <c r="F6" s="471"/>
      <c r="G6" s="377"/>
      <c r="H6" s="377"/>
      <c r="I6" s="143"/>
    </row>
    <row r="7" spans="1:23" s="10" customFormat="1" ht="15" customHeight="1" x14ac:dyDescent="0.2">
      <c r="A7" s="449" t="s">
        <v>141</v>
      </c>
      <c r="B7" s="449"/>
      <c r="C7" s="449"/>
      <c r="D7" s="449"/>
      <c r="E7" s="449"/>
      <c r="F7" s="449"/>
      <c r="G7" s="449"/>
      <c r="H7" s="449"/>
      <c r="I7" s="144"/>
    </row>
    <row r="8" spans="1:23" s="10" customFormat="1" ht="15" customHeight="1" x14ac:dyDescent="0.2">
      <c r="A8" s="450" t="s">
        <v>142</v>
      </c>
      <c r="B8" s="452" t="s">
        <v>143</v>
      </c>
      <c r="C8" s="452" t="s">
        <v>144</v>
      </c>
      <c r="D8" s="443" t="s">
        <v>145</v>
      </c>
      <c r="E8" s="452" t="s">
        <v>146</v>
      </c>
      <c r="F8" s="452" t="s">
        <v>147</v>
      </c>
      <c r="G8" s="462" t="s">
        <v>148</v>
      </c>
      <c r="H8" s="463" t="s">
        <v>149</v>
      </c>
      <c r="I8" s="436" t="s">
        <v>150</v>
      </c>
    </row>
    <row r="9" spans="1:23" s="10" customFormat="1" ht="16.350000000000001" customHeight="1" thickBot="1" x14ac:dyDescent="0.25">
      <c r="A9" s="450"/>
      <c r="B9" s="453"/>
      <c r="C9" s="453"/>
      <c r="D9" s="443"/>
      <c r="E9" s="453"/>
      <c r="F9" s="453"/>
      <c r="G9" s="463"/>
      <c r="H9" s="463"/>
      <c r="I9" s="437"/>
    </row>
    <row r="10" spans="1:23" s="10" customFormat="1" ht="16.350000000000001" customHeight="1" x14ac:dyDescent="0.2">
      <c r="A10" s="450"/>
      <c r="B10" s="442"/>
      <c r="C10" s="442"/>
      <c r="D10" s="443"/>
      <c r="E10" s="442"/>
      <c r="F10" s="442"/>
      <c r="G10" s="464"/>
      <c r="H10" s="464"/>
      <c r="I10" s="437"/>
      <c r="J10" s="459" t="s">
        <v>151</v>
      </c>
      <c r="K10" s="446"/>
    </row>
    <row r="11" spans="1:23" s="10" customFormat="1" ht="16.350000000000001" customHeight="1" thickBot="1" x14ac:dyDescent="0.25">
      <c r="A11" s="451"/>
      <c r="B11" s="454"/>
      <c r="C11" s="454"/>
      <c r="D11" s="444"/>
      <c r="E11" s="454"/>
      <c r="F11" s="454"/>
      <c r="G11" s="465"/>
      <c r="H11" s="465"/>
      <c r="I11" s="438"/>
      <c r="J11" s="460" t="s">
        <v>152</v>
      </c>
      <c r="K11" s="448"/>
    </row>
    <row r="12" spans="1:23" s="10" customFormat="1" ht="16.350000000000001" customHeight="1" x14ac:dyDescent="0.2">
      <c r="A12" s="32" t="s">
        <v>110</v>
      </c>
      <c r="B12" s="37">
        <f>+'2-Revenue'!B7</f>
        <v>23230032.179999992</v>
      </c>
      <c r="C12" s="33">
        <v>2281059</v>
      </c>
      <c r="D12" s="80">
        <f t="shared" ref="D12:D18" si="0">IF(C12=0,"%",C12/B12)</f>
        <v>9.8194396905049858E-2</v>
      </c>
      <c r="E12" s="33">
        <v>2099161</v>
      </c>
      <c r="F12" s="33">
        <v>359070</v>
      </c>
      <c r="G12" s="86">
        <v>1526066.1</v>
      </c>
      <c r="H12" s="136">
        <f>B12+F12+G12</f>
        <v>25115168.279999994</v>
      </c>
      <c r="I12" s="145">
        <f>IF(H12=0,"%",(F12+G12)/H12)</f>
        <v>7.5059664302595724E-2</v>
      </c>
      <c r="J12" s="81">
        <f>(C12+C14+C16)-(E12+E14+E16)</f>
        <v>181898</v>
      </c>
      <c r="K12" s="82" t="str">
        <f>IF(J12&gt;0,"WARNING: IS subsidizing OS","Compliant")</f>
        <v>WARNING: IS subsidizing OS</v>
      </c>
      <c r="O12" s="85" t="s">
        <v>153</v>
      </c>
      <c r="P12" s="32" t="s">
        <v>110</v>
      </c>
      <c r="Q12" s="33">
        <f>C12</f>
        <v>2281059</v>
      </c>
      <c r="R12" s="33">
        <f>E12</f>
        <v>2099161</v>
      </c>
      <c r="W12" s="85">
        <f>Q12-R12</f>
        <v>181898</v>
      </c>
    </row>
    <row r="13" spans="1:23" s="10" customFormat="1" ht="15" customHeight="1" x14ac:dyDescent="0.2">
      <c r="A13" s="34" t="s">
        <v>111</v>
      </c>
      <c r="B13" s="38">
        <f>+'2-Revenue'!B8</f>
        <v>22574388.229999993</v>
      </c>
      <c r="C13" s="33">
        <v>2194940</v>
      </c>
      <c r="D13" s="80">
        <f t="shared" si="0"/>
        <v>9.7231427830370074E-2</v>
      </c>
      <c r="E13" s="33">
        <v>2218781</v>
      </c>
      <c r="F13" s="33">
        <v>1010751</v>
      </c>
      <c r="G13" s="86">
        <v>481720</v>
      </c>
      <c r="H13" s="137">
        <f t="shared" ref="H13:H17" si="1">B13+F13+G13</f>
        <v>24066859.229999993</v>
      </c>
      <c r="I13" s="145">
        <f t="shared" ref="I13:I18" si="2">IF(H13=0,"%",(F13+G13)/H13)</f>
        <v>6.2013534285337672E-2</v>
      </c>
      <c r="O13" s="85" t="s">
        <v>153</v>
      </c>
      <c r="P13" s="34" t="s">
        <v>112</v>
      </c>
      <c r="Q13" s="33">
        <f>C14</f>
        <v>418510</v>
      </c>
      <c r="R13" s="33">
        <f>E14</f>
        <v>418510</v>
      </c>
      <c r="S13" s="85">
        <f>SUM(Q12:Q13)</f>
        <v>2699569</v>
      </c>
      <c r="T13" s="85">
        <f>SUM(R12:R13)</f>
        <v>2517671</v>
      </c>
      <c r="V13" s="85">
        <f>S13-T13</f>
        <v>181898</v>
      </c>
      <c r="W13" s="85">
        <f t="shared" ref="W13:W15" si="3">Q13-R13</f>
        <v>0</v>
      </c>
    </row>
    <row r="14" spans="1:23" s="10" customFormat="1" ht="15" customHeight="1" x14ac:dyDescent="0.2">
      <c r="A14" s="34" t="s">
        <v>112</v>
      </c>
      <c r="B14" s="38">
        <f>+'2-Revenue'!B9</f>
        <v>2373023.189999999</v>
      </c>
      <c r="C14" s="33">
        <v>418510</v>
      </c>
      <c r="D14" s="80">
        <f t="shared" si="0"/>
        <v>0.17636152978344902</v>
      </c>
      <c r="E14" s="33">
        <v>418510</v>
      </c>
      <c r="F14" s="33">
        <v>871</v>
      </c>
      <c r="G14" s="86">
        <v>429375</v>
      </c>
      <c r="H14" s="137">
        <f t="shared" si="1"/>
        <v>2803269.189999999</v>
      </c>
      <c r="I14" s="145">
        <f t="shared" si="2"/>
        <v>0.15348008729764556</v>
      </c>
      <c r="O14" s="85" t="s">
        <v>154</v>
      </c>
      <c r="P14" s="34" t="s">
        <v>111</v>
      </c>
      <c r="Q14" s="33">
        <f>C13</f>
        <v>2194940</v>
      </c>
      <c r="R14" s="33">
        <f>E13</f>
        <v>2218781</v>
      </c>
      <c r="W14" s="85">
        <f t="shared" si="3"/>
        <v>-23841</v>
      </c>
    </row>
    <row r="15" spans="1:23" s="10" customFormat="1" ht="15" customHeight="1" x14ac:dyDescent="0.2">
      <c r="A15" s="34" t="s">
        <v>113</v>
      </c>
      <c r="B15" s="38">
        <f>+'2-Revenue'!B10</f>
        <v>2278895.1300000013</v>
      </c>
      <c r="C15" s="33">
        <v>238358</v>
      </c>
      <c r="D15" s="80">
        <f t="shared" si="0"/>
        <v>0.10459366772177879</v>
      </c>
      <c r="E15" s="33">
        <v>204699</v>
      </c>
      <c r="F15" s="33">
        <v>134407</v>
      </c>
      <c r="G15" s="86">
        <v>489998</v>
      </c>
      <c r="H15" s="137">
        <f t="shared" si="1"/>
        <v>2903300.1300000013</v>
      </c>
      <c r="I15" s="145">
        <f>IF(H15=0,"%",(F15+G15)/H15)</f>
        <v>0.21506732753805916</v>
      </c>
      <c r="O15" s="85" t="s">
        <v>154</v>
      </c>
      <c r="P15" s="34" t="s">
        <v>113</v>
      </c>
      <c r="Q15" s="33">
        <f>C15</f>
        <v>238358</v>
      </c>
      <c r="R15" s="33">
        <f>E15</f>
        <v>204699</v>
      </c>
      <c r="S15" s="85">
        <f>SUM(Q14:Q15)</f>
        <v>2433298</v>
      </c>
      <c r="T15" s="85">
        <f>SUM(R14:R15)</f>
        <v>2423480</v>
      </c>
      <c r="V15" s="85">
        <f>S15-T15</f>
        <v>9818</v>
      </c>
      <c r="W15" s="85">
        <f t="shared" si="3"/>
        <v>33659</v>
      </c>
    </row>
    <row r="16" spans="1:23" s="10" customFormat="1" ht="15" customHeight="1" x14ac:dyDescent="0.2">
      <c r="A16" s="34" t="s">
        <v>155</v>
      </c>
      <c r="B16" s="38">
        <f>+SUM('2-Revenue'!B11+'2-Revenue'!B13+'2-Revenue'!B15+'2-Revenue'!B17+'2-Revenue'!B19)</f>
        <v>0</v>
      </c>
      <c r="C16" s="33">
        <v>0</v>
      </c>
      <c r="D16" s="80" t="str">
        <f t="shared" si="0"/>
        <v>%</v>
      </c>
      <c r="E16" s="33">
        <v>0</v>
      </c>
      <c r="F16" s="33">
        <f>0</f>
        <v>0</v>
      </c>
      <c r="G16" s="86">
        <f>0</f>
        <v>0</v>
      </c>
      <c r="H16" s="137">
        <f t="shared" si="1"/>
        <v>0</v>
      </c>
      <c r="I16" s="145" t="str">
        <f t="shared" si="2"/>
        <v>%</v>
      </c>
      <c r="O16" s="85"/>
    </row>
    <row r="17" spans="1:23" s="10" customFormat="1" ht="15" customHeight="1" thickBot="1" x14ac:dyDescent="0.25">
      <c r="A17" s="35" t="s">
        <v>156</v>
      </c>
      <c r="B17" s="38">
        <f>+SUM('2-Revenue'!B12+'2-Revenue'!B14+'2-Revenue'!B16+'2-Revenue'!B18+'2-Revenue'!B20)</f>
        <v>0</v>
      </c>
      <c r="C17" s="33">
        <f>0</f>
        <v>0</v>
      </c>
      <c r="D17" s="83" t="str">
        <f t="shared" si="0"/>
        <v>%</v>
      </c>
      <c r="E17" s="33">
        <f>0</f>
        <v>0</v>
      </c>
      <c r="F17" s="33">
        <f>0</f>
        <v>0</v>
      </c>
      <c r="G17" s="86">
        <f>0</f>
        <v>0</v>
      </c>
      <c r="H17" s="138">
        <f t="shared" si="1"/>
        <v>0</v>
      </c>
      <c r="I17" s="145" t="str">
        <f t="shared" si="2"/>
        <v>%</v>
      </c>
      <c r="O17" s="85"/>
      <c r="Q17" s="85">
        <f>SUM(Q12:Q16)</f>
        <v>5132867</v>
      </c>
      <c r="R17" s="85">
        <f>SUM(R12:R16)</f>
        <v>4941151</v>
      </c>
    </row>
    <row r="18" spans="1:23" s="10" customFormat="1" ht="15" customHeight="1" thickBot="1" x14ac:dyDescent="0.25">
      <c r="A18" s="36" t="s">
        <v>157</v>
      </c>
      <c r="B18" s="39">
        <f>SUM(B12:B17)</f>
        <v>50456338.729999982</v>
      </c>
      <c r="C18" s="390">
        <f t="shared" ref="C18:G18" si="4">SUM(C12:C17)</f>
        <v>5132867</v>
      </c>
      <c r="D18" s="84">
        <f t="shared" si="0"/>
        <v>0.10172888341079998</v>
      </c>
      <c r="E18" s="39">
        <f t="shared" si="4"/>
        <v>4941151</v>
      </c>
      <c r="F18" s="390">
        <f t="shared" si="4"/>
        <v>1505099</v>
      </c>
      <c r="G18" s="390">
        <f t="shared" si="4"/>
        <v>2927159.1</v>
      </c>
      <c r="H18" s="139">
        <f t="shared" ref="H18" si="5">SUM(H12:H17)</f>
        <v>54888596.829999991</v>
      </c>
      <c r="I18" s="146">
        <f t="shared" si="2"/>
        <v>8.075007116191206E-2</v>
      </c>
      <c r="M18" s="85"/>
      <c r="O18" s="85"/>
      <c r="S18" s="10">
        <v>2365876</v>
      </c>
      <c r="T18" s="10">
        <v>2517671</v>
      </c>
      <c r="V18" s="85">
        <f>S18-T18</f>
        <v>-151795</v>
      </c>
    </row>
    <row r="19" spans="1:23" s="10" customFormat="1" ht="15" customHeight="1" x14ac:dyDescent="0.2">
      <c r="A19" s="461"/>
      <c r="B19" s="461"/>
      <c r="C19" s="461"/>
      <c r="D19" s="461"/>
      <c r="E19" s="461"/>
      <c r="I19" s="147"/>
    </row>
    <row r="20" spans="1:23" s="10" customFormat="1" ht="15" customHeight="1" x14ac:dyDescent="0.2">
      <c r="A20" s="449" t="s">
        <v>158</v>
      </c>
      <c r="B20" s="449"/>
      <c r="C20" s="449"/>
      <c r="D20" s="449"/>
      <c r="E20" s="449"/>
      <c r="F20" s="449"/>
      <c r="G20" s="449"/>
      <c r="H20" s="449"/>
      <c r="I20" s="144"/>
      <c r="S20" s="10">
        <v>2766991</v>
      </c>
      <c r="T20" s="10">
        <v>2423480</v>
      </c>
      <c r="V20" s="85">
        <f>S20-T20</f>
        <v>343511</v>
      </c>
    </row>
    <row r="21" spans="1:23" ht="15" customHeight="1" x14ac:dyDescent="0.2">
      <c r="A21" s="450" t="s">
        <v>142</v>
      </c>
      <c r="B21" s="452" t="s">
        <v>143</v>
      </c>
      <c r="C21" s="452" t="s">
        <v>144</v>
      </c>
      <c r="D21" s="443" t="s">
        <v>145</v>
      </c>
      <c r="E21" s="452" t="s">
        <v>146</v>
      </c>
      <c r="F21" s="452" t="s">
        <v>147</v>
      </c>
      <c r="G21" s="452" t="s">
        <v>148</v>
      </c>
      <c r="H21" s="453" t="s">
        <v>149</v>
      </c>
      <c r="I21" s="436" t="s">
        <v>150</v>
      </c>
    </row>
    <row r="22" spans="1:23" s="10" customFormat="1" ht="15" customHeight="1" thickBot="1" x14ac:dyDescent="0.25">
      <c r="A22" s="450"/>
      <c r="B22" s="453"/>
      <c r="C22" s="453"/>
      <c r="D22" s="443"/>
      <c r="E22" s="453"/>
      <c r="F22" s="453"/>
      <c r="G22" s="453"/>
      <c r="H22" s="453"/>
      <c r="I22" s="437"/>
    </row>
    <row r="23" spans="1:23" s="10" customFormat="1" ht="16.350000000000001" customHeight="1" x14ac:dyDescent="0.2">
      <c r="A23" s="450"/>
      <c r="B23" s="442"/>
      <c r="C23" s="442"/>
      <c r="D23" s="443"/>
      <c r="E23" s="442"/>
      <c r="F23" s="442"/>
      <c r="G23" s="442"/>
      <c r="H23" s="442"/>
      <c r="I23" s="437"/>
      <c r="J23" s="445" t="s">
        <v>151</v>
      </c>
      <c r="K23" s="446"/>
    </row>
    <row r="24" spans="1:23" s="10" customFormat="1" ht="16.350000000000001" customHeight="1" thickBot="1" x14ac:dyDescent="0.25">
      <c r="A24" s="451"/>
      <c r="B24" s="454"/>
      <c r="C24" s="454"/>
      <c r="D24" s="444"/>
      <c r="E24" s="454"/>
      <c r="F24" s="454"/>
      <c r="G24" s="454"/>
      <c r="H24" s="454"/>
      <c r="I24" s="438"/>
      <c r="J24" s="447" t="s">
        <v>152</v>
      </c>
      <c r="K24" s="448"/>
    </row>
    <row r="25" spans="1:23" s="10" customFormat="1" ht="16.350000000000001" customHeight="1" x14ac:dyDescent="0.2">
      <c r="A25" s="32" t="s">
        <v>110</v>
      </c>
      <c r="B25" s="37">
        <f>+'2-Revenue'!C7</f>
        <v>22438276</v>
      </c>
      <c r="C25" s="33">
        <v>2202401</v>
      </c>
      <c r="D25" s="80">
        <f t="shared" ref="D25:D31" si="6">IF(C25=0,"%",C25/B25)</f>
        <v>9.8153752988865986E-2</v>
      </c>
      <c r="E25" s="33">
        <f>2144269+8825</f>
        <v>2153094</v>
      </c>
      <c r="F25" s="33">
        <v>750000</v>
      </c>
      <c r="G25" s="33">
        <v>1200000</v>
      </c>
      <c r="H25" s="88">
        <f>B25+F25+G25</f>
        <v>24388276</v>
      </c>
      <c r="I25" s="145">
        <f>IF(H25=0,"%",(F25+G25)/H25)</f>
        <v>7.9956451206309134E-2</v>
      </c>
      <c r="J25" s="81">
        <f>(C25+C27+C29)-(E25+E27+E29)</f>
        <v>0</v>
      </c>
      <c r="K25" s="82" t="str">
        <f>IF(J25&gt;0,"WARNING: IS subsidizing OS","Compliant")</f>
        <v>Compliant</v>
      </c>
      <c r="O25" s="10" t="s">
        <v>153</v>
      </c>
      <c r="P25" s="32" t="s">
        <v>110</v>
      </c>
      <c r="Q25" s="33">
        <f>C25</f>
        <v>2202401</v>
      </c>
      <c r="R25" s="33">
        <f>E25</f>
        <v>2153094</v>
      </c>
      <c r="W25" s="85">
        <f>Q25-R25</f>
        <v>49307</v>
      </c>
    </row>
    <row r="26" spans="1:23" s="10" customFormat="1" ht="16.350000000000001" customHeight="1" x14ac:dyDescent="0.2">
      <c r="A26" s="34" t="s">
        <v>111</v>
      </c>
      <c r="B26" s="38">
        <f>+'2-Revenue'!C8</f>
        <v>22793767</v>
      </c>
      <c r="C26" s="33">
        <v>2496768</v>
      </c>
      <c r="D26" s="80">
        <f t="shared" si="6"/>
        <v>0.10953731342432341</v>
      </c>
      <c r="E26" s="33">
        <v>2427946</v>
      </c>
      <c r="F26" s="33">
        <v>1000000</v>
      </c>
      <c r="G26" s="33">
        <v>3463176</v>
      </c>
      <c r="H26" s="89">
        <f t="shared" ref="H26:H30" si="7">B26+F26+G26</f>
        <v>27256943</v>
      </c>
      <c r="I26" s="145">
        <f t="shared" ref="I26:I31" si="8">IF(H26=0,"%",(F26+G26)/H26)</f>
        <v>0.16374455491945666</v>
      </c>
      <c r="O26" s="10" t="s">
        <v>153</v>
      </c>
      <c r="P26" s="34" t="s">
        <v>112</v>
      </c>
      <c r="Q26" s="33">
        <f>C27</f>
        <v>240137</v>
      </c>
      <c r="R26" s="33">
        <f>E27</f>
        <v>289444</v>
      </c>
      <c r="S26" s="85">
        <f>SUM(Q25:Q26)</f>
        <v>2442538</v>
      </c>
      <c r="T26" s="85">
        <f>SUM(R25:R26)</f>
        <v>2442538</v>
      </c>
      <c r="V26" s="85">
        <f>S26-T26</f>
        <v>0</v>
      </c>
      <c r="W26" s="85">
        <f t="shared" ref="W26:W28" si="9">Q26-R26</f>
        <v>-49307</v>
      </c>
    </row>
    <row r="27" spans="1:23" s="10" customFormat="1" ht="15" customHeight="1" x14ac:dyDescent="0.2">
      <c r="A27" s="34" t="s">
        <v>112</v>
      </c>
      <c r="B27" s="38">
        <f>+'2-Revenue'!C9</f>
        <v>2328949</v>
      </c>
      <c r="C27" s="33">
        <v>240137</v>
      </c>
      <c r="D27" s="80">
        <f t="shared" si="6"/>
        <v>0.10310960008141011</v>
      </c>
      <c r="E27" s="33">
        <v>289444</v>
      </c>
      <c r="F27" s="33">
        <v>100000</v>
      </c>
      <c r="G27" s="33">
        <v>400000</v>
      </c>
      <c r="H27" s="89">
        <f t="shared" si="7"/>
        <v>2828949</v>
      </c>
      <c r="I27" s="145">
        <f t="shared" si="8"/>
        <v>0.17674408411038869</v>
      </c>
      <c r="O27" s="10" t="s">
        <v>154</v>
      </c>
      <c r="P27" s="34" t="s">
        <v>111</v>
      </c>
      <c r="Q27" s="33">
        <f>C26</f>
        <v>2496768</v>
      </c>
      <c r="R27" s="33">
        <f>E26</f>
        <v>2427946</v>
      </c>
      <c r="W27" s="85">
        <f t="shared" si="9"/>
        <v>68822</v>
      </c>
    </row>
    <row r="28" spans="1:23" s="10" customFormat="1" ht="15" customHeight="1" x14ac:dyDescent="0.2">
      <c r="A28" s="34" t="s">
        <v>113</v>
      </c>
      <c r="B28" s="38">
        <f>+'2-Revenue'!C10</f>
        <v>1531276</v>
      </c>
      <c r="C28" s="33">
        <v>193561</v>
      </c>
      <c r="D28" s="80">
        <f t="shared" si="6"/>
        <v>0.12640503736752878</v>
      </c>
      <c r="E28" s="33">
        <f>271208-8825</f>
        <v>262383</v>
      </c>
      <c r="F28" s="33">
        <v>150000</v>
      </c>
      <c r="G28" s="33">
        <v>500000</v>
      </c>
      <c r="H28" s="89">
        <f t="shared" si="7"/>
        <v>2181276</v>
      </c>
      <c r="I28" s="145">
        <f t="shared" si="8"/>
        <v>0.2979907173599306</v>
      </c>
      <c r="O28" s="10" t="s">
        <v>154</v>
      </c>
      <c r="P28" s="34" t="s">
        <v>113</v>
      </c>
      <c r="Q28" s="33">
        <f>C28</f>
        <v>193561</v>
      </c>
      <c r="R28" s="33">
        <f>E28</f>
        <v>262383</v>
      </c>
      <c r="S28" s="85">
        <f>SUM(Q27:Q28)</f>
        <v>2690329</v>
      </c>
      <c r="T28" s="85">
        <f>SUM(R27:R28)</f>
        <v>2690329</v>
      </c>
      <c r="V28" s="85">
        <f>S28-T28</f>
        <v>0</v>
      </c>
      <c r="W28" s="85">
        <f t="shared" si="9"/>
        <v>-68822</v>
      </c>
    </row>
    <row r="29" spans="1:23" s="10" customFormat="1" ht="15" customHeight="1" x14ac:dyDescent="0.2">
      <c r="A29" s="34" t="s">
        <v>155</v>
      </c>
      <c r="B29" s="38">
        <f>+SUM('2-Revenue'!C11+'2-Revenue'!C13+'2-Revenue'!C15+'2-Revenue'!C17+'2-Revenue'!C19)</f>
        <v>0</v>
      </c>
      <c r="C29" s="33">
        <f>0</f>
        <v>0</v>
      </c>
      <c r="D29" s="80" t="str">
        <f t="shared" si="6"/>
        <v>%</v>
      </c>
      <c r="E29" s="33">
        <f>0</f>
        <v>0</v>
      </c>
      <c r="F29" s="33">
        <f>0</f>
        <v>0</v>
      </c>
      <c r="G29" s="33">
        <f>0</f>
        <v>0</v>
      </c>
      <c r="H29" s="89">
        <f t="shared" si="7"/>
        <v>0</v>
      </c>
      <c r="I29" s="145" t="str">
        <f t="shared" si="8"/>
        <v>%</v>
      </c>
    </row>
    <row r="30" spans="1:23" s="10" customFormat="1" ht="15" customHeight="1" thickBot="1" x14ac:dyDescent="0.25">
      <c r="A30" s="35" t="s">
        <v>156</v>
      </c>
      <c r="B30" s="38">
        <f>+SUM('2-Revenue'!C12+'2-Revenue'!C14+'2-Revenue'!C16+'2-Revenue'!C18+'2-Revenue'!C20)</f>
        <v>0</v>
      </c>
      <c r="C30" s="33">
        <f>0</f>
        <v>0</v>
      </c>
      <c r="D30" s="83" t="str">
        <f t="shared" si="6"/>
        <v>%</v>
      </c>
      <c r="E30" s="33">
        <f>0</f>
        <v>0</v>
      </c>
      <c r="F30" s="33">
        <f>0</f>
        <v>0</v>
      </c>
      <c r="G30" s="33">
        <f>0</f>
        <v>0</v>
      </c>
      <c r="H30" s="90">
        <f t="shared" si="7"/>
        <v>0</v>
      </c>
      <c r="I30" s="145" t="str">
        <f t="shared" si="8"/>
        <v>%</v>
      </c>
      <c r="Q30" s="85">
        <f>SUM(Q25:Q29)</f>
        <v>5132867</v>
      </c>
      <c r="R30" s="85">
        <f>SUM(R25:R29)</f>
        <v>5132867</v>
      </c>
    </row>
    <row r="31" spans="1:23" s="10" customFormat="1" ht="15" customHeight="1" thickBot="1" x14ac:dyDescent="0.25">
      <c r="A31" s="36" t="s">
        <v>157</v>
      </c>
      <c r="B31" s="41">
        <f>SUM(B25:B30)</f>
        <v>49092268</v>
      </c>
      <c r="C31" s="41">
        <f t="shared" ref="C31:H31" si="10">SUM(C25:C30)</f>
        <v>5132867</v>
      </c>
      <c r="D31" s="84">
        <f t="shared" si="6"/>
        <v>0.10455550760050442</v>
      </c>
      <c r="E31" s="41">
        <f t="shared" si="10"/>
        <v>5132867</v>
      </c>
      <c r="F31" s="390">
        <f t="shared" si="10"/>
        <v>2000000</v>
      </c>
      <c r="G31" s="390">
        <f t="shared" si="10"/>
        <v>5563176</v>
      </c>
      <c r="H31" s="87">
        <f t="shared" si="10"/>
        <v>56655444</v>
      </c>
      <c r="I31" s="146">
        <f t="shared" si="8"/>
        <v>0.13349424990827008</v>
      </c>
      <c r="M31" s="85"/>
    </row>
    <row r="32" spans="1:23" s="10" customFormat="1" ht="15" customHeight="1" x14ac:dyDescent="0.2">
      <c r="A32" s="457"/>
      <c r="B32" s="457"/>
      <c r="C32" s="457"/>
      <c r="D32" s="457"/>
      <c r="E32" s="457"/>
      <c r="I32" s="147"/>
    </row>
    <row r="33" spans="1:13" s="10" customFormat="1" ht="15" customHeight="1" x14ac:dyDescent="0.2">
      <c r="A33" s="449" t="s">
        <v>159</v>
      </c>
      <c r="B33" s="449"/>
      <c r="C33" s="449"/>
      <c r="D33" s="449"/>
      <c r="E33" s="449"/>
      <c r="F33" s="449"/>
      <c r="G33" s="449"/>
      <c r="H33" s="449"/>
      <c r="I33" s="144"/>
    </row>
    <row r="34" spans="1:13" ht="15" customHeight="1" x14ac:dyDescent="0.2">
      <c r="A34" s="450" t="s">
        <v>142</v>
      </c>
      <c r="B34" s="452" t="s">
        <v>143</v>
      </c>
      <c r="C34" s="452" t="s">
        <v>144</v>
      </c>
      <c r="D34" s="443" t="s">
        <v>145</v>
      </c>
      <c r="E34" s="452" t="s">
        <v>146</v>
      </c>
      <c r="F34" s="452" t="s">
        <v>147</v>
      </c>
      <c r="G34" s="452" t="s">
        <v>148</v>
      </c>
      <c r="H34" s="453" t="s">
        <v>149</v>
      </c>
      <c r="I34" s="436" t="s">
        <v>150</v>
      </c>
    </row>
    <row r="35" spans="1:13" ht="12.6" customHeight="1" thickBot="1" x14ac:dyDescent="0.25">
      <c r="A35" s="450"/>
      <c r="B35" s="453"/>
      <c r="C35" s="453"/>
      <c r="D35" s="443"/>
      <c r="E35" s="453"/>
      <c r="F35" s="453"/>
      <c r="G35" s="453"/>
      <c r="H35" s="453"/>
      <c r="I35" s="437"/>
      <c r="J35" s="10"/>
    </row>
    <row r="36" spans="1:13" s="10" customFormat="1" ht="15" customHeight="1" x14ac:dyDescent="0.2">
      <c r="A36" s="450"/>
      <c r="B36" s="442"/>
      <c r="C36" s="442"/>
      <c r="D36" s="443"/>
      <c r="E36" s="442"/>
      <c r="F36" s="442"/>
      <c r="G36" s="442"/>
      <c r="H36" s="442"/>
      <c r="I36" s="437"/>
      <c r="J36" s="445" t="s">
        <v>151</v>
      </c>
      <c r="K36" s="446"/>
    </row>
    <row r="37" spans="1:13" s="10" customFormat="1" ht="16.350000000000001" customHeight="1" thickBot="1" x14ac:dyDescent="0.25">
      <c r="A37" s="451"/>
      <c r="B37" s="454"/>
      <c r="C37" s="454"/>
      <c r="D37" s="444"/>
      <c r="E37" s="454"/>
      <c r="F37" s="454"/>
      <c r="G37" s="454"/>
      <c r="H37" s="454"/>
      <c r="I37" s="438"/>
      <c r="J37" s="447" t="s">
        <v>152</v>
      </c>
      <c r="K37" s="448"/>
    </row>
    <row r="38" spans="1:13" s="10" customFormat="1" ht="16.350000000000001" customHeight="1" x14ac:dyDescent="0.2">
      <c r="A38" s="32" t="s">
        <v>110</v>
      </c>
      <c r="B38" s="37">
        <f>+'2-Revenue'!E7</f>
        <v>23191497</v>
      </c>
      <c r="C38" s="33">
        <v>2170293</v>
      </c>
      <c r="D38" s="80">
        <f t="shared" ref="D38:D44" si="11">IF(C38=0,"%",C38/B38)</f>
        <v>9.3581410462636377E-2</v>
      </c>
      <c r="E38" s="33">
        <v>2170293</v>
      </c>
      <c r="F38" s="33">
        <v>750000</v>
      </c>
      <c r="G38" s="33">
        <v>1200000</v>
      </c>
      <c r="H38" s="88">
        <f>B38+F38+G38</f>
        <v>25141497</v>
      </c>
      <c r="I38" s="145">
        <f>IF(H38=0,"%",(F38+G38)/H38)</f>
        <v>7.7561013968261316E-2</v>
      </c>
      <c r="J38" s="81">
        <f>(C38+C40+C42)-(E38+E40+E42)</f>
        <v>0</v>
      </c>
      <c r="K38" s="82" t="str">
        <f>IF(J38&gt;0,"WARNING: IS subsidizing OS","Compliant")</f>
        <v>Compliant</v>
      </c>
    </row>
    <row r="39" spans="1:13" s="10" customFormat="1" ht="16.350000000000001" customHeight="1" x14ac:dyDescent="0.2">
      <c r="A39" s="34" t="s">
        <v>111</v>
      </c>
      <c r="B39" s="40">
        <f>+'2-Revenue'!E8</f>
        <v>24120007</v>
      </c>
      <c r="C39" s="33">
        <v>2468065</v>
      </c>
      <c r="D39" s="80">
        <f t="shared" si="11"/>
        <v>0.10232438987268951</v>
      </c>
      <c r="E39" s="33">
        <v>2468065</v>
      </c>
      <c r="F39" s="33">
        <v>1000000</v>
      </c>
      <c r="G39" s="33">
        <v>3463176</v>
      </c>
      <c r="H39" s="89">
        <f t="shared" ref="H39:H43" si="12">B39+F39+G39</f>
        <v>28583183</v>
      </c>
      <c r="I39" s="145">
        <f t="shared" ref="I39:I44" si="13">IF(H39=0,"%",(F39+G39)/H39)</f>
        <v>0.15614692037622263</v>
      </c>
    </row>
    <row r="40" spans="1:13" s="10" customFormat="1" ht="16.350000000000001" customHeight="1" x14ac:dyDescent="0.2">
      <c r="A40" s="34" t="s">
        <v>112</v>
      </c>
      <c r="B40" s="40">
        <f>+'2-Revenue'!E9</f>
        <v>2560926</v>
      </c>
      <c r="C40" s="33">
        <v>266878</v>
      </c>
      <c r="D40" s="80">
        <f t="shared" si="11"/>
        <v>0.10421152348798833</v>
      </c>
      <c r="E40" s="33">
        <v>266878</v>
      </c>
      <c r="F40" s="33">
        <v>100000</v>
      </c>
      <c r="G40" s="33">
        <v>400000</v>
      </c>
      <c r="H40" s="89">
        <f t="shared" si="12"/>
        <v>3060926</v>
      </c>
      <c r="I40" s="145">
        <f t="shared" si="13"/>
        <v>0.1633492609752735</v>
      </c>
    </row>
    <row r="41" spans="1:13" s="10" customFormat="1" ht="15" customHeight="1" x14ac:dyDescent="0.2">
      <c r="A41" s="34" t="s">
        <v>113</v>
      </c>
      <c r="B41" s="40">
        <f>+'2-Revenue'!E10</f>
        <v>1949522</v>
      </c>
      <c r="C41" s="33">
        <v>227631</v>
      </c>
      <c r="D41" s="80">
        <f t="shared" si="11"/>
        <v>0.1167624679280357</v>
      </c>
      <c r="E41" s="33">
        <v>227631</v>
      </c>
      <c r="F41" s="33">
        <v>150000</v>
      </c>
      <c r="G41" s="33">
        <v>500000</v>
      </c>
      <c r="H41" s="89">
        <f t="shared" si="12"/>
        <v>2599522</v>
      </c>
      <c r="I41" s="145">
        <f t="shared" si="13"/>
        <v>0.25004596998986739</v>
      </c>
    </row>
    <row r="42" spans="1:13" s="10" customFormat="1" ht="15" customHeight="1" x14ac:dyDescent="0.2">
      <c r="A42" s="34" t="s">
        <v>155</v>
      </c>
      <c r="B42" s="38">
        <f>+SUM('2-Revenue'!E11+'2-Revenue'!E13+'2-Revenue'!E15+'2-Revenue'!E17+'2-Revenue'!E19)</f>
        <v>0</v>
      </c>
      <c r="C42" s="33">
        <f>0</f>
        <v>0</v>
      </c>
      <c r="D42" s="80" t="str">
        <f t="shared" si="11"/>
        <v>%</v>
      </c>
      <c r="E42" s="33">
        <f>0</f>
        <v>0</v>
      </c>
      <c r="F42" s="33">
        <f>0</f>
        <v>0</v>
      </c>
      <c r="G42" s="33">
        <f>0</f>
        <v>0</v>
      </c>
      <c r="H42" s="89">
        <f t="shared" si="12"/>
        <v>0</v>
      </c>
      <c r="I42" s="145" t="str">
        <f t="shared" si="13"/>
        <v>%</v>
      </c>
    </row>
    <row r="43" spans="1:13" s="10" customFormat="1" ht="15" customHeight="1" thickBot="1" x14ac:dyDescent="0.25">
      <c r="A43" s="35" t="s">
        <v>156</v>
      </c>
      <c r="B43" s="38">
        <f>+SUM('2-Revenue'!E12+'2-Revenue'!E14+'2-Revenue'!E16+'2-Revenue'!E18+'2-Revenue'!E20)</f>
        <v>0</v>
      </c>
      <c r="C43" s="33">
        <f>0</f>
        <v>0</v>
      </c>
      <c r="D43" s="80" t="str">
        <f t="shared" si="11"/>
        <v>%</v>
      </c>
      <c r="E43" s="33">
        <f>0</f>
        <v>0</v>
      </c>
      <c r="F43" s="33">
        <f>0</f>
        <v>0</v>
      </c>
      <c r="G43" s="33">
        <f>0</f>
        <v>0</v>
      </c>
      <c r="H43" s="90">
        <f t="shared" si="12"/>
        <v>0</v>
      </c>
      <c r="I43" s="145" t="str">
        <f t="shared" si="13"/>
        <v>%</v>
      </c>
    </row>
    <row r="44" spans="1:13" s="10" customFormat="1" ht="15" customHeight="1" thickBot="1" x14ac:dyDescent="0.25">
      <c r="A44" s="36" t="s">
        <v>157</v>
      </c>
      <c r="B44" s="41">
        <f>SUM(B38:B43)</f>
        <v>51821952</v>
      </c>
      <c r="C44" s="41">
        <f t="shared" ref="C44:H44" si="14">SUM(C38:C43)</f>
        <v>5132867</v>
      </c>
      <c r="D44" s="84">
        <f t="shared" si="11"/>
        <v>9.9048121537374745E-2</v>
      </c>
      <c r="E44" s="41">
        <f t="shared" si="14"/>
        <v>5132867</v>
      </c>
      <c r="F44" s="39">
        <f t="shared" si="14"/>
        <v>2000000</v>
      </c>
      <c r="G44" s="39">
        <f t="shared" si="14"/>
        <v>5563176</v>
      </c>
      <c r="H44" s="87">
        <f t="shared" si="14"/>
        <v>59385128</v>
      </c>
      <c r="I44" s="146">
        <f t="shared" si="13"/>
        <v>0.12735808197634937</v>
      </c>
      <c r="M44" s="85"/>
    </row>
    <row r="45" spans="1:13" s="10" customFormat="1" ht="15" customHeight="1" x14ac:dyDescent="0.2">
      <c r="A45" s="455"/>
      <c r="B45" s="455"/>
      <c r="C45" s="455"/>
      <c r="D45" s="455"/>
      <c r="E45" s="455"/>
      <c r="I45" s="147"/>
    </row>
    <row r="46" spans="1:13" s="10" customFormat="1" ht="15" customHeight="1" x14ac:dyDescent="0.2">
      <c r="A46" s="449" t="s">
        <v>160</v>
      </c>
      <c r="B46" s="449"/>
      <c r="C46" s="449"/>
      <c r="D46" s="449"/>
      <c r="E46" s="449"/>
      <c r="F46" s="449"/>
      <c r="G46" s="449"/>
      <c r="H46" s="449"/>
      <c r="I46" s="144"/>
    </row>
    <row r="47" spans="1:13" ht="15" customHeight="1" x14ac:dyDescent="0.2">
      <c r="A47" s="450" t="s">
        <v>142</v>
      </c>
      <c r="B47" s="452" t="s">
        <v>143</v>
      </c>
      <c r="C47" s="452" t="s">
        <v>144</v>
      </c>
      <c r="D47" s="443" t="s">
        <v>145</v>
      </c>
      <c r="E47" s="452" t="s">
        <v>146</v>
      </c>
      <c r="F47" s="452" t="s">
        <v>147</v>
      </c>
      <c r="G47" s="452" t="s">
        <v>148</v>
      </c>
      <c r="H47" s="453" t="s">
        <v>149</v>
      </c>
      <c r="I47" s="436" t="s">
        <v>150</v>
      </c>
    </row>
    <row r="48" spans="1:13" ht="15" customHeight="1" thickBot="1" x14ac:dyDescent="0.25">
      <c r="A48" s="450"/>
      <c r="B48" s="453"/>
      <c r="C48" s="453"/>
      <c r="D48" s="443"/>
      <c r="E48" s="453"/>
      <c r="F48" s="453"/>
      <c r="G48" s="453"/>
      <c r="H48" s="453"/>
      <c r="I48" s="437"/>
      <c r="J48" s="10"/>
    </row>
    <row r="49" spans="1:13" ht="15" customHeight="1" x14ac:dyDescent="0.2">
      <c r="A49" s="450"/>
      <c r="B49" s="442"/>
      <c r="C49" s="442"/>
      <c r="D49" s="443"/>
      <c r="E49" s="442"/>
      <c r="F49" s="442"/>
      <c r="G49" s="442"/>
      <c r="H49" s="442"/>
      <c r="I49" s="437"/>
      <c r="J49" s="445" t="s">
        <v>151</v>
      </c>
      <c r="K49" s="446"/>
    </row>
    <row r="50" spans="1:13" ht="15" customHeight="1" thickBot="1" x14ac:dyDescent="0.25">
      <c r="A50" s="451"/>
      <c r="B50" s="454"/>
      <c r="C50" s="454"/>
      <c r="D50" s="444"/>
      <c r="E50" s="454"/>
      <c r="F50" s="454"/>
      <c r="G50" s="454"/>
      <c r="H50" s="454"/>
      <c r="I50" s="438"/>
      <c r="J50" s="447" t="s">
        <v>152</v>
      </c>
      <c r="K50" s="448"/>
    </row>
    <row r="51" spans="1:13" ht="15" x14ac:dyDescent="0.2">
      <c r="A51" s="32" t="s">
        <v>110</v>
      </c>
      <c r="B51" s="37">
        <f>+'2-Revenue'!G7</f>
        <v>23935061</v>
      </c>
      <c r="C51" s="33">
        <v>2161928</v>
      </c>
      <c r="D51" s="80">
        <f t="shared" ref="D51:D57" si="15">IF(C51=0,"%",C51/B51)</f>
        <v>9.0324733243838398E-2</v>
      </c>
      <c r="E51" s="33">
        <v>2161928</v>
      </c>
      <c r="F51" s="33">
        <v>750000</v>
      </c>
      <c r="G51" s="33">
        <v>1200000</v>
      </c>
      <c r="H51" s="88">
        <f>B51+F51+G51</f>
        <v>25885061</v>
      </c>
      <c r="I51" s="145">
        <f>IF(H51=0,"%",(F51+G51)/H51)</f>
        <v>7.533302703053317E-2</v>
      </c>
      <c r="J51" s="81">
        <f>(C51+C53+C55)-(E51+E53+E55)</f>
        <v>0</v>
      </c>
      <c r="K51" s="82" t="str">
        <f>IF(J51&gt;0,"WARNING: IS subsidizing OS","Compliant")</f>
        <v>Compliant</v>
      </c>
    </row>
    <row r="52" spans="1:13" ht="15" x14ac:dyDescent="0.2">
      <c r="A52" s="34" t="s">
        <v>111</v>
      </c>
      <c r="B52" s="40">
        <f>+'2-Revenue'!G8</f>
        <v>24974534</v>
      </c>
      <c r="C52" s="33">
        <v>2458655</v>
      </c>
      <c r="D52" s="80">
        <f t="shared" si="15"/>
        <v>9.8446481523939547E-2</v>
      </c>
      <c r="E52" s="33">
        <v>2458655</v>
      </c>
      <c r="F52" s="33">
        <v>1000000</v>
      </c>
      <c r="G52" s="33">
        <v>3463176</v>
      </c>
      <c r="H52" s="89">
        <f t="shared" ref="H52:H56" si="16">B52+F52+G52</f>
        <v>29437710</v>
      </c>
      <c r="I52" s="145">
        <f t="shared" ref="I52:I57" si="17">IF(H52=0,"%",(F52+G52)/H52)</f>
        <v>0.15161423901519513</v>
      </c>
    </row>
    <row r="53" spans="1:13" ht="15" x14ac:dyDescent="0.2">
      <c r="A53" s="34" t="s">
        <v>112</v>
      </c>
      <c r="B53" s="40">
        <f>+'2-Revenue'!G9</f>
        <v>2755519</v>
      </c>
      <c r="C53" s="33">
        <v>272456</v>
      </c>
      <c r="D53" s="80">
        <f t="shared" si="15"/>
        <v>9.8876472998371628E-2</v>
      </c>
      <c r="E53" s="33">
        <v>272456</v>
      </c>
      <c r="F53" s="33">
        <v>100000</v>
      </c>
      <c r="G53" s="33">
        <v>400000</v>
      </c>
      <c r="H53" s="89">
        <f t="shared" si="16"/>
        <v>3255519</v>
      </c>
      <c r="I53" s="145">
        <f t="shared" si="17"/>
        <v>0.15358534230640336</v>
      </c>
    </row>
    <row r="54" spans="1:13" ht="15" x14ac:dyDescent="0.2">
      <c r="A54" s="34" t="s">
        <v>113</v>
      </c>
      <c r="B54" s="40">
        <f>+'2-Revenue'!G10</f>
        <v>2208372</v>
      </c>
      <c r="C54" s="33">
        <v>239828</v>
      </c>
      <c r="D54" s="80">
        <f t="shared" si="15"/>
        <v>0.10859945697554578</v>
      </c>
      <c r="E54" s="33">
        <v>239828</v>
      </c>
      <c r="F54" s="33">
        <v>150000</v>
      </c>
      <c r="G54" s="33">
        <v>500000</v>
      </c>
      <c r="H54" s="89">
        <f t="shared" si="16"/>
        <v>2858372</v>
      </c>
      <c r="I54" s="145">
        <f t="shared" si="17"/>
        <v>0.2274021715857838</v>
      </c>
    </row>
    <row r="55" spans="1:13" ht="15" x14ac:dyDescent="0.2">
      <c r="A55" s="34" t="s">
        <v>155</v>
      </c>
      <c r="B55" s="38">
        <f>+SUM('2-Revenue'!G11+'2-Revenue'!G13+'2-Revenue'!G15+'2-Revenue'!G17+'2-Revenue'!G19)</f>
        <v>0</v>
      </c>
      <c r="C55" s="33">
        <f>0</f>
        <v>0</v>
      </c>
      <c r="D55" s="80" t="str">
        <f t="shared" si="15"/>
        <v>%</v>
      </c>
      <c r="E55" s="33">
        <f>0</f>
        <v>0</v>
      </c>
      <c r="F55" s="33">
        <f>0</f>
        <v>0</v>
      </c>
      <c r="G55" s="33">
        <f>0</f>
        <v>0</v>
      </c>
      <c r="H55" s="89">
        <f t="shared" si="16"/>
        <v>0</v>
      </c>
      <c r="I55" s="145" t="str">
        <f t="shared" si="17"/>
        <v>%</v>
      </c>
    </row>
    <row r="56" spans="1:13" ht="15.75" thickBot="1" x14ac:dyDescent="0.25">
      <c r="A56" s="35" t="s">
        <v>156</v>
      </c>
      <c r="B56" s="38">
        <f>+SUM('2-Revenue'!G12+'2-Revenue'!G14+'2-Revenue'!G16+'2-Revenue'!G18+'2-Revenue'!G20)</f>
        <v>0</v>
      </c>
      <c r="C56" s="33">
        <f>0</f>
        <v>0</v>
      </c>
      <c r="D56" s="80" t="str">
        <f t="shared" si="15"/>
        <v>%</v>
      </c>
      <c r="E56" s="33">
        <f>0</f>
        <v>0</v>
      </c>
      <c r="F56" s="33">
        <f>0</f>
        <v>0</v>
      </c>
      <c r="G56" s="33">
        <f>0</f>
        <v>0</v>
      </c>
      <c r="H56" s="90">
        <f t="shared" si="16"/>
        <v>0</v>
      </c>
      <c r="I56" s="145" t="str">
        <f t="shared" si="17"/>
        <v>%</v>
      </c>
    </row>
    <row r="57" spans="1:13" ht="15.75" thickBot="1" x14ac:dyDescent="0.25">
      <c r="A57" s="36" t="s">
        <v>157</v>
      </c>
      <c r="B57" s="41">
        <f>SUM(B51:B56)</f>
        <v>53873486</v>
      </c>
      <c r="C57" s="41">
        <f t="shared" ref="C57:H57" si="18">SUM(C51:C56)</f>
        <v>5132867</v>
      </c>
      <c r="D57" s="84">
        <f t="shared" si="15"/>
        <v>9.5276310873961267E-2</v>
      </c>
      <c r="E57" s="41">
        <f t="shared" si="18"/>
        <v>5132867</v>
      </c>
      <c r="F57" s="39">
        <f t="shared" si="18"/>
        <v>2000000</v>
      </c>
      <c r="G57" s="39">
        <f t="shared" si="18"/>
        <v>5563176</v>
      </c>
      <c r="H57" s="87">
        <f t="shared" si="18"/>
        <v>61436662</v>
      </c>
      <c r="I57" s="146">
        <f t="shared" si="17"/>
        <v>0.12310525594635985</v>
      </c>
      <c r="J57" s="85"/>
      <c r="M57" s="85"/>
    </row>
    <row r="58" spans="1:13" ht="15" x14ac:dyDescent="0.2">
      <c r="A58" s="161"/>
      <c r="B58" s="162"/>
      <c r="C58" s="162"/>
      <c r="D58" s="163"/>
      <c r="E58" s="162"/>
      <c r="F58" s="164"/>
      <c r="G58" s="164"/>
      <c r="H58" s="164"/>
      <c r="I58" s="165"/>
      <c r="J58" s="85"/>
    </row>
    <row r="59" spans="1:13" ht="15.75" x14ac:dyDescent="0.2">
      <c r="A59" s="449" t="s">
        <v>161</v>
      </c>
      <c r="B59" s="449"/>
      <c r="C59" s="449"/>
      <c r="D59" s="449"/>
      <c r="E59" s="449"/>
      <c r="F59" s="449"/>
      <c r="G59" s="449"/>
      <c r="H59" s="449"/>
      <c r="I59" s="144"/>
      <c r="J59" s="10"/>
      <c r="K59" s="10"/>
    </row>
    <row r="60" spans="1:13" ht="12.75" customHeight="1" x14ac:dyDescent="0.2">
      <c r="A60" s="450" t="s">
        <v>142</v>
      </c>
      <c r="B60" s="452" t="s">
        <v>143</v>
      </c>
      <c r="C60" s="452" t="s">
        <v>144</v>
      </c>
      <c r="D60" s="443" t="s">
        <v>145</v>
      </c>
      <c r="E60" s="452" t="s">
        <v>146</v>
      </c>
      <c r="F60" s="452" t="s">
        <v>147</v>
      </c>
      <c r="G60" s="452" t="s">
        <v>148</v>
      </c>
      <c r="H60" s="453" t="s">
        <v>149</v>
      </c>
      <c r="I60" s="436" t="s">
        <v>150</v>
      </c>
    </row>
    <row r="61" spans="1:13" ht="13.5" customHeight="1" thickBot="1" x14ac:dyDescent="0.25">
      <c r="A61" s="450"/>
      <c r="B61" s="453"/>
      <c r="C61" s="453"/>
      <c r="D61" s="443"/>
      <c r="E61" s="453"/>
      <c r="F61" s="453"/>
      <c r="G61" s="453"/>
      <c r="H61" s="453"/>
      <c r="I61" s="437"/>
      <c r="J61" s="10"/>
    </row>
    <row r="62" spans="1:13" ht="12.75" customHeight="1" x14ac:dyDescent="0.2">
      <c r="A62" s="450"/>
      <c r="B62" s="442"/>
      <c r="C62" s="442"/>
      <c r="D62" s="443"/>
      <c r="E62" s="442"/>
      <c r="F62" s="442"/>
      <c r="G62" s="442"/>
      <c r="H62" s="442"/>
      <c r="I62" s="437"/>
      <c r="J62" s="445" t="s">
        <v>151</v>
      </c>
      <c r="K62" s="446"/>
    </row>
    <row r="63" spans="1:13" ht="19.5" customHeight="1" thickBot="1" x14ac:dyDescent="0.25">
      <c r="A63" s="451"/>
      <c r="B63" s="454"/>
      <c r="C63" s="454"/>
      <c r="D63" s="444"/>
      <c r="E63" s="454"/>
      <c r="F63" s="454"/>
      <c r="G63" s="454"/>
      <c r="H63" s="454"/>
      <c r="I63" s="438"/>
      <c r="J63" s="447" t="s">
        <v>152</v>
      </c>
      <c r="K63" s="448"/>
    </row>
    <row r="64" spans="1:13" ht="15" x14ac:dyDescent="0.2">
      <c r="A64" s="32" t="s">
        <v>110</v>
      </c>
      <c r="B64" s="37">
        <f>+'2-Revenue'!I7</f>
        <v>24353716</v>
      </c>
      <c r="C64" s="33">
        <v>2149138</v>
      </c>
      <c r="D64" s="80">
        <f t="shared" ref="D64:D70" si="19">IF(C64=0,"%",C64/B64)</f>
        <v>8.824682032097278E-2</v>
      </c>
      <c r="E64" s="33">
        <v>2149138</v>
      </c>
      <c r="F64" s="33">
        <v>750000</v>
      </c>
      <c r="G64" s="33">
        <v>1200000</v>
      </c>
      <c r="H64" s="88">
        <f>B64+F64+G64</f>
        <v>26303716</v>
      </c>
      <c r="I64" s="145">
        <f>IF(H64=0,"%",(F64+G64)/H64)</f>
        <v>7.4134012091675569E-2</v>
      </c>
      <c r="J64" s="81">
        <f>(C64+C66+C68)-(E64+E66+E68)</f>
        <v>0</v>
      </c>
      <c r="K64" s="82" t="str">
        <f>IF(J64&gt;0,"WARNING: IS subsidizing OS","Compliant")</f>
        <v>Compliant</v>
      </c>
    </row>
    <row r="65" spans="1:13" ht="15" x14ac:dyDescent="0.2">
      <c r="A65" s="34" t="s">
        <v>111</v>
      </c>
      <c r="B65" s="37">
        <f>+'2-Revenue'!I8</f>
        <v>25369716</v>
      </c>
      <c r="C65" s="33">
        <v>2436896</v>
      </c>
      <c r="D65" s="80">
        <f t="shared" si="19"/>
        <v>9.605531256242679E-2</v>
      </c>
      <c r="E65" s="33">
        <v>2436896</v>
      </c>
      <c r="F65" s="33">
        <v>1000000</v>
      </c>
      <c r="G65" s="33">
        <v>3463176</v>
      </c>
      <c r="H65" s="89">
        <f t="shared" ref="H65:H69" si="20">B65+F65+G65</f>
        <v>29832892</v>
      </c>
      <c r="I65" s="145">
        <f t="shared" ref="I65:I70" si="21">IF(H65=0,"%",(F65+G65)/H65)</f>
        <v>0.14960587796851876</v>
      </c>
    </row>
    <row r="66" spans="1:13" ht="15" x14ac:dyDescent="0.2">
      <c r="A66" s="34" t="s">
        <v>112</v>
      </c>
      <c r="B66" s="37">
        <f>+'2-Revenue'!I9</f>
        <v>2988797</v>
      </c>
      <c r="C66" s="33">
        <v>286323</v>
      </c>
      <c r="D66" s="80">
        <f t="shared" si="19"/>
        <v>9.5798744444671222E-2</v>
      </c>
      <c r="E66" s="33">
        <v>286323</v>
      </c>
      <c r="F66" s="33">
        <v>100000</v>
      </c>
      <c r="G66" s="33">
        <v>400000</v>
      </c>
      <c r="H66" s="89">
        <f t="shared" si="20"/>
        <v>3488797</v>
      </c>
      <c r="I66" s="145">
        <f t="shared" si="21"/>
        <v>0.14331587650413596</v>
      </c>
    </row>
    <row r="67" spans="1:13" ht="15" x14ac:dyDescent="0.2">
      <c r="A67" s="34" t="s">
        <v>113</v>
      </c>
      <c r="B67" s="37">
        <f>+'2-Revenue'!I10</f>
        <v>2516197</v>
      </c>
      <c r="C67" s="33">
        <v>260510</v>
      </c>
      <c r="D67" s="80">
        <f t="shared" si="19"/>
        <v>0.1035332289164958</v>
      </c>
      <c r="E67" s="33">
        <v>260510</v>
      </c>
      <c r="F67" s="33">
        <v>150000</v>
      </c>
      <c r="G67" s="33">
        <v>500000</v>
      </c>
      <c r="H67" s="89">
        <f t="shared" si="20"/>
        <v>3166197</v>
      </c>
      <c r="I67" s="145">
        <f t="shared" si="21"/>
        <v>0.20529360617801104</v>
      </c>
    </row>
    <row r="68" spans="1:13" ht="15" x14ac:dyDescent="0.2">
      <c r="A68" s="34" t="s">
        <v>155</v>
      </c>
      <c r="B68" s="38">
        <f>+SUM('2-Revenue'!I11+'2-Revenue'!I13+'2-Revenue'!I15+'2-Revenue'!I17+'2-Revenue'!I19)</f>
        <v>0</v>
      </c>
      <c r="C68" s="33">
        <f>0</f>
        <v>0</v>
      </c>
      <c r="D68" s="80" t="str">
        <f t="shared" si="19"/>
        <v>%</v>
      </c>
      <c r="E68" s="33">
        <f>0</f>
        <v>0</v>
      </c>
      <c r="F68" s="33">
        <f>0</f>
        <v>0</v>
      </c>
      <c r="G68" s="33">
        <f>0</f>
        <v>0</v>
      </c>
      <c r="H68" s="89">
        <f t="shared" si="20"/>
        <v>0</v>
      </c>
      <c r="I68" s="145" t="str">
        <f t="shared" si="21"/>
        <v>%</v>
      </c>
    </row>
    <row r="69" spans="1:13" ht="15.75" thickBot="1" x14ac:dyDescent="0.25">
      <c r="A69" s="35" t="s">
        <v>156</v>
      </c>
      <c r="B69" s="38">
        <f>+SUM('2-Revenue'!I12+'2-Revenue'!I14+'2-Revenue'!I16+'2-Revenue'!I18+'2-Revenue'!I20)</f>
        <v>0</v>
      </c>
      <c r="C69" s="33">
        <f>0</f>
        <v>0</v>
      </c>
      <c r="D69" s="80" t="str">
        <f t="shared" si="19"/>
        <v>%</v>
      </c>
      <c r="E69" s="33">
        <f>0</f>
        <v>0</v>
      </c>
      <c r="F69" s="33">
        <f>0</f>
        <v>0</v>
      </c>
      <c r="G69" s="33">
        <f>0</f>
        <v>0</v>
      </c>
      <c r="H69" s="90">
        <f t="shared" si="20"/>
        <v>0</v>
      </c>
      <c r="I69" s="145" t="str">
        <f t="shared" si="21"/>
        <v>%</v>
      </c>
    </row>
    <row r="70" spans="1:13" ht="15.75" thickBot="1" x14ac:dyDescent="0.25">
      <c r="A70" s="36" t="s">
        <v>157</v>
      </c>
      <c r="B70" s="41">
        <f>SUM(B64:B69)</f>
        <v>55228426</v>
      </c>
      <c r="C70" s="41">
        <f t="shared" ref="C70" si="22">SUM(C64:C69)</f>
        <v>5132867</v>
      </c>
      <c r="D70" s="84">
        <f t="shared" si="19"/>
        <v>9.293886086849551E-2</v>
      </c>
      <c r="E70" s="41">
        <f t="shared" ref="E70:H70" si="23">SUM(E64:E69)</f>
        <v>5132867</v>
      </c>
      <c r="F70" s="39">
        <f t="shared" si="23"/>
        <v>2000000</v>
      </c>
      <c r="G70" s="39">
        <f t="shared" si="23"/>
        <v>5563176</v>
      </c>
      <c r="H70" s="87">
        <f t="shared" si="23"/>
        <v>62791602</v>
      </c>
      <c r="I70" s="146">
        <f t="shared" si="21"/>
        <v>0.1204488460096941</v>
      </c>
      <c r="J70" s="85"/>
      <c r="M70" s="85"/>
    </row>
    <row r="71" spans="1:13" ht="15" x14ac:dyDescent="0.2">
      <c r="A71" s="161"/>
      <c r="B71" s="162"/>
      <c r="C71" s="162"/>
      <c r="D71" s="163"/>
      <c r="E71" s="162"/>
      <c r="F71" s="164"/>
      <c r="G71" s="164"/>
      <c r="H71" s="164"/>
      <c r="I71" s="165"/>
      <c r="J71" s="85"/>
    </row>
    <row r="72" spans="1:13" ht="12.75" customHeight="1" x14ac:dyDescent="0.2">
      <c r="A72" s="449" t="s">
        <v>162</v>
      </c>
      <c r="B72" s="449"/>
      <c r="C72" s="449"/>
      <c r="D72" s="449"/>
      <c r="E72" s="449"/>
      <c r="F72" s="449"/>
      <c r="G72" s="449"/>
      <c r="H72" s="449"/>
      <c r="I72" s="144"/>
      <c r="J72" s="10"/>
      <c r="K72" s="10"/>
    </row>
    <row r="73" spans="1:13" ht="13.5" customHeight="1" x14ac:dyDescent="0.2">
      <c r="A73" s="450" t="s">
        <v>142</v>
      </c>
      <c r="B73" s="452" t="s">
        <v>143</v>
      </c>
      <c r="C73" s="452" t="s">
        <v>144</v>
      </c>
      <c r="D73" s="443" t="s">
        <v>145</v>
      </c>
      <c r="E73" s="452" t="s">
        <v>146</v>
      </c>
      <c r="F73" s="452" t="s">
        <v>147</v>
      </c>
      <c r="G73" s="452" t="s">
        <v>148</v>
      </c>
      <c r="H73" s="453" t="s">
        <v>149</v>
      </c>
      <c r="I73" s="436" t="s">
        <v>150</v>
      </c>
    </row>
    <row r="74" spans="1:13" ht="13.5" customHeight="1" thickBot="1" x14ac:dyDescent="0.25">
      <c r="A74" s="450"/>
      <c r="B74" s="453"/>
      <c r="C74" s="453"/>
      <c r="D74" s="443"/>
      <c r="E74" s="453"/>
      <c r="F74" s="453"/>
      <c r="G74" s="453"/>
      <c r="H74" s="453"/>
      <c r="I74" s="437"/>
      <c r="J74" s="10"/>
    </row>
    <row r="75" spans="1:13" ht="12.75" customHeight="1" x14ac:dyDescent="0.2">
      <c r="A75" s="450"/>
      <c r="B75" s="442"/>
      <c r="C75" s="442"/>
      <c r="D75" s="443"/>
      <c r="E75" s="442"/>
      <c r="F75" s="442"/>
      <c r="G75" s="442"/>
      <c r="H75" s="442"/>
      <c r="I75" s="437"/>
      <c r="J75" s="445" t="s">
        <v>151</v>
      </c>
      <c r="K75" s="446"/>
    </row>
    <row r="76" spans="1:13" ht="22.5" customHeight="1" thickBot="1" x14ac:dyDescent="0.25">
      <c r="A76" s="451"/>
      <c r="B76" s="454"/>
      <c r="C76" s="454"/>
      <c r="D76" s="444"/>
      <c r="E76" s="454"/>
      <c r="F76" s="454"/>
      <c r="G76" s="454"/>
      <c r="H76" s="454"/>
      <c r="I76" s="438"/>
      <c r="J76" s="447" t="s">
        <v>152</v>
      </c>
      <c r="K76" s="448"/>
    </row>
    <row r="77" spans="1:13" ht="15" x14ac:dyDescent="0.2">
      <c r="A77" s="32" t="s">
        <v>110</v>
      </c>
      <c r="B77" s="37">
        <f>+'2-Revenue'!K7</f>
        <v>24669438</v>
      </c>
      <c r="C77" s="33">
        <v>2144269</v>
      </c>
      <c r="D77" s="80">
        <f t="shared" ref="D77:D83" si="24">IF(C77=0,"%",C77/B77)</f>
        <v>8.692005873826554E-2</v>
      </c>
      <c r="E77" s="33">
        <v>2144269</v>
      </c>
      <c r="F77" s="33">
        <v>750000</v>
      </c>
      <c r="G77" s="33">
        <v>1200000</v>
      </c>
      <c r="H77" s="88">
        <f>B77+F77+G77</f>
        <v>26619438</v>
      </c>
      <c r="I77" s="145">
        <f>IF(H77=0,"%",(F77+G77)/H77)</f>
        <v>7.3254739638004385E-2</v>
      </c>
      <c r="J77" s="81">
        <f>(C77+C79+C81)-(E77+E79+E81)</f>
        <v>0</v>
      </c>
      <c r="K77" s="82" t="str">
        <f>IF(J77&gt;0,"WARNING: IS subsidizing OS","Compliant")</f>
        <v>Compliant</v>
      </c>
    </row>
    <row r="78" spans="1:13" ht="15" x14ac:dyDescent="0.2">
      <c r="A78" s="34" t="s">
        <v>111</v>
      </c>
      <c r="B78" s="37">
        <f>+'2-Revenue'!K8</f>
        <v>25681323</v>
      </c>
      <c r="C78" s="33">
        <v>2427946</v>
      </c>
      <c r="D78" s="80">
        <f t="shared" si="24"/>
        <v>9.4541313155868181E-2</v>
      </c>
      <c r="E78" s="33">
        <v>2427946</v>
      </c>
      <c r="F78" s="33">
        <v>1000000</v>
      </c>
      <c r="G78" s="33">
        <v>3463176</v>
      </c>
      <c r="H78" s="89">
        <f t="shared" ref="H78:H82" si="25">B78+F78+G78</f>
        <v>30144499</v>
      </c>
      <c r="I78" s="145">
        <f t="shared" ref="I78:I83" si="26">IF(H78=0,"%",(F78+G78)/H78)</f>
        <v>0.14805938556152484</v>
      </c>
    </row>
    <row r="79" spans="1:13" ht="15" x14ac:dyDescent="0.2">
      <c r="A79" s="34" t="s">
        <v>112</v>
      </c>
      <c r="B79" s="37">
        <f>+'2-Revenue'!K9</f>
        <v>3089444</v>
      </c>
      <c r="C79" s="33">
        <v>289444</v>
      </c>
      <c r="D79" s="80">
        <f t="shared" si="24"/>
        <v>9.3688055196986905E-2</v>
      </c>
      <c r="E79" s="33">
        <v>289444</v>
      </c>
      <c r="F79" s="33">
        <v>100000</v>
      </c>
      <c r="G79" s="33">
        <v>400000</v>
      </c>
      <c r="H79" s="89">
        <f t="shared" si="25"/>
        <v>3589444</v>
      </c>
      <c r="I79" s="145">
        <f t="shared" si="26"/>
        <v>0.13929733964368854</v>
      </c>
    </row>
    <row r="80" spans="1:13" ht="15" x14ac:dyDescent="0.2">
      <c r="A80" s="34" t="s">
        <v>113</v>
      </c>
      <c r="B80" s="37">
        <f>+'2-Revenue'!K10</f>
        <v>2705527</v>
      </c>
      <c r="C80" s="33">
        <v>271208</v>
      </c>
      <c r="D80" s="80">
        <f t="shared" si="24"/>
        <v>0.10024220789517163</v>
      </c>
      <c r="E80" s="33">
        <v>271208</v>
      </c>
      <c r="F80" s="33">
        <v>150000</v>
      </c>
      <c r="G80" s="33">
        <v>500000</v>
      </c>
      <c r="H80" s="89">
        <f t="shared" si="25"/>
        <v>3355527</v>
      </c>
      <c r="I80" s="145">
        <f t="shared" si="26"/>
        <v>0.193710257732988</v>
      </c>
    </row>
    <row r="81" spans="1:13" ht="15" x14ac:dyDescent="0.2">
      <c r="A81" s="34" t="s">
        <v>155</v>
      </c>
      <c r="B81" s="38">
        <f>+SUM('2-Revenue'!K11+'2-Revenue'!K13+'2-Revenue'!K15+'2-Revenue'!K17+'2-Revenue'!K19)</f>
        <v>0</v>
      </c>
      <c r="C81" s="33">
        <f>0</f>
        <v>0</v>
      </c>
      <c r="D81" s="80" t="str">
        <f t="shared" si="24"/>
        <v>%</v>
      </c>
      <c r="E81" s="33">
        <f>0</f>
        <v>0</v>
      </c>
      <c r="F81" s="33">
        <f>0</f>
        <v>0</v>
      </c>
      <c r="G81" s="33">
        <f>0</f>
        <v>0</v>
      </c>
      <c r="H81" s="89">
        <f t="shared" si="25"/>
        <v>0</v>
      </c>
      <c r="I81" s="145" t="str">
        <f t="shared" si="26"/>
        <v>%</v>
      </c>
    </row>
    <row r="82" spans="1:13" ht="15.75" thickBot="1" x14ac:dyDescent="0.25">
      <c r="A82" s="35" t="s">
        <v>156</v>
      </c>
      <c r="B82" s="38">
        <f>+SUM('2-Revenue'!K12+'2-Revenue'!K14+'2-Revenue'!K16+'2-Revenue'!K18+'2-Revenue'!K20)</f>
        <v>0</v>
      </c>
      <c r="C82" s="33">
        <f>0</f>
        <v>0</v>
      </c>
      <c r="D82" s="80" t="str">
        <f t="shared" si="24"/>
        <v>%</v>
      </c>
      <c r="E82" s="33">
        <f>0</f>
        <v>0</v>
      </c>
      <c r="F82" s="33">
        <f>0</f>
        <v>0</v>
      </c>
      <c r="G82" s="33">
        <f>0</f>
        <v>0</v>
      </c>
      <c r="H82" s="90">
        <f t="shared" si="25"/>
        <v>0</v>
      </c>
      <c r="I82" s="145" t="str">
        <f t="shared" si="26"/>
        <v>%</v>
      </c>
    </row>
    <row r="83" spans="1:13" ht="15.75" thickBot="1" x14ac:dyDescent="0.25">
      <c r="A83" s="36" t="s">
        <v>157</v>
      </c>
      <c r="B83" s="41">
        <f>SUM(B77:B82)</f>
        <v>56145732</v>
      </c>
      <c r="C83" s="41">
        <f t="shared" ref="C83" si="27">SUM(C77:C82)</f>
        <v>5132867</v>
      </c>
      <c r="D83" s="84">
        <f t="shared" si="24"/>
        <v>9.1420430674944264E-2</v>
      </c>
      <c r="E83" s="41">
        <f t="shared" ref="E83:H83" si="28">SUM(E77:E82)</f>
        <v>5132867</v>
      </c>
      <c r="F83" s="39">
        <f t="shared" si="28"/>
        <v>2000000</v>
      </c>
      <c r="G83" s="39">
        <f t="shared" si="28"/>
        <v>5563176</v>
      </c>
      <c r="H83" s="87">
        <f t="shared" si="28"/>
        <v>63708908</v>
      </c>
      <c r="I83" s="146">
        <f t="shared" si="26"/>
        <v>0.11871457598990709</v>
      </c>
      <c r="J83" s="85"/>
      <c r="M83" s="85"/>
    </row>
    <row r="84" spans="1:13" ht="15" x14ac:dyDescent="0.2">
      <c r="A84" s="161"/>
      <c r="B84" s="162"/>
      <c r="C84" s="162"/>
      <c r="D84" s="163"/>
      <c r="E84" s="162"/>
      <c r="F84" s="164"/>
      <c r="G84" s="164"/>
      <c r="H84" s="164"/>
      <c r="I84" s="165"/>
      <c r="J84" s="85"/>
    </row>
    <row r="85" spans="1:13" ht="15.75" x14ac:dyDescent="0.2">
      <c r="A85" s="449" t="s">
        <v>163</v>
      </c>
      <c r="B85" s="449"/>
      <c r="C85" s="449"/>
      <c r="D85" s="449"/>
      <c r="E85" s="449"/>
      <c r="F85" s="449"/>
      <c r="G85" s="449"/>
      <c r="H85" s="449"/>
      <c r="I85" s="144"/>
      <c r="J85" s="85"/>
    </row>
    <row r="86" spans="1:13" ht="12.75" customHeight="1" x14ac:dyDescent="0.2">
      <c r="A86" s="450" t="s">
        <v>142</v>
      </c>
      <c r="B86" s="452" t="s">
        <v>143</v>
      </c>
      <c r="C86" s="452" t="s">
        <v>144</v>
      </c>
      <c r="D86" s="443" t="s">
        <v>145</v>
      </c>
      <c r="E86" s="452" t="s">
        <v>146</v>
      </c>
      <c r="F86" s="452" t="s">
        <v>147</v>
      </c>
      <c r="G86" s="452" t="s">
        <v>148</v>
      </c>
      <c r="H86" s="453" t="s">
        <v>149</v>
      </c>
      <c r="I86" s="436" t="s">
        <v>150</v>
      </c>
      <c r="J86" s="85"/>
    </row>
    <row r="87" spans="1:13" ht="12.75" customHeight="1" x14ac:dyDescent="0.2">
      <c r="A87" s="450"/>
      <c r="B87" s="453"/>
      <c r="C87" s="453"/>
      <c r="D87" s="443"/>
      <c r="E87" s="453"/>
      <c r="F87" s="453"/>
      <c r="G87" s="453"/>
      <c r="H87" s="453"/>
      <c r="I87" s="437"/>
      <c r="J87" s="85"/>
    </row>
    <row r="88" spans="1:13" ht="12.75" customHeight="1" x14ac:dyDescent="0.2">
      <c r="A88" s="450"/>
      <c r="B88" s="442"/>
      <c r="C88" s="442"/>
      <c r="D88" s="443"/>
      <c r="E88" s="442"/>
      <c r="F88" s="442"/>
      <c r="G88" s="442"/>
      <c r="H88" s="442"/>
      <c r="I88" s="437"/>
      <c r="J88" s="85"/>
    </row>
    <row r="89" spans="1:13" ht="21.75" customHeight="1" thickBot="1" x14ac:dyDescent="0.25">
      <c r="A89" s="451"/>
      <c r="B89" s="454"/>
      <c r="C89" s="454"/>
      <c r="D89" s="444"/>
      <c r="E89" s="454"/>
      <c r="F89" s="454"/>
      <c r="G89" s="454"/>
      <c r="H89" s="454"/>
      <c r="I89" s="438"/>
      <c r="J89" s="85"/>
    </row>
    <row r="90" spans="1:13" ht="15" x14ac:dyDescent="0.2">
      <c r="A90" s="32" t="s">
        <v>110</v>
      </c>
      <c r="B90" s="37">
        <f>+'2-Revenue'!M7</f>
        <v>24954417</v>
      </c>
      <c r="C90" s="33">
        <v>2135490</v>
      </c>
      <c r="D90" s="80">
        <f t="shared" ref="D90:D96" si="29">IF(C90=0,"%",C90/B90)</f>
        <v>8.5575631760902285E-2</v>
      </c>
      <c r="E90" s="33">
        <v>2135490</v>
      </c>
      <c r="F90" s="33">
        <v>750000</v>
      </c>
      <c r="G90" s="33">
        <v>1200000</v>
      </c>
      <c r="H90" s="88">
        <f>B90+F90+G90</f>
        <v>26904417</v>
      </c>
      <c r="I90" s="145">
        <f>IF(H90=0,"%",(F90+G90)/H90)</f>
        <v>7.2478805245993622E-2</v>
      </c>
      <c r="J90" s="85"/>
    </row>
    <row r="91" spans="1:13" ht="15" x14ac:dyDescent="0.2">
      <c r="A91" s="34" t="s">
        <v>111</v>
      </c>
      <c r="B91" s="37">
        <f>+'2-Revenue'!M8</f>
        <v>25959407</v>
      </c>
      <c r="C91" s="33">
        <v>2414455</v>
      </c>
      <c r="D91" s="80">
        <f t="shared" si="29"/>
        <v>9.3008865726401227E-2</v>
      </c>
      <c r="E91" s="33">
        <v>2414455</v>
      </c>
      <c r="F91" s="33">
        <v>1000000</v>
      </c>
      <c r="G91" s="33">
        <v>3463176</v>
      </c>
      <c r="H91" s="89">
        <f t="shared" ref="H91:H95" si="30">B91+F91+G91</f>
        <v>30422583</v>
      </c>
      <c r="I91" s="145">
        <f t="shared" ref="I91:I96" si="31">IF(H91=0,"%",(F91+G91)/H91)</f>
        <v>0.14670601769744535</v>
      </c>
      <c r="J91" s="85"/>
    </row>
    <row r="92" spans="1:13" ht="15" x14ac:dyDescent="0.2">
      <c r="A92" s="34" t="s">
        <v>112</v>
      </c>
      <c r="B92" s="37">
        <f>+'2-Revenue'!M9</f>
        <v>3234965</v>
      </c>
      <c r="C92" s="33">
        <v>297166</v>
      </c>
      <c r="D92" s="80">
        <f t="shared" si="29"/>
        <v>9.1860653824693619E-2</v>
      </c>
      <c r="E92" s="33">
        <v>297166</v>
      </c>
      <c r="F92" s="33">
        <v>100000</v>
      </c>
      <c r="G92" s="33">
        <v>400000</v>
      </c>
      <c r="H92" s="89">
        <f t="shared" si="30"/>
        <v>3734965</v>
      </c>
      <c r="I92" s="145">
        <f t="shared" si="31"/>
        <v>0.13387006303941268</v>
      </c>
      <c r="J92" s="85"/>
    </row>
    <row r="93" spans="1:13" ht="15" x14ac:dyDescent="0.2">
      <c r="A93" s="34" t="s">
        <v>113</v>
      </c>
      <c r="B93" s="37">
        <f>+'2-Revenue'!M10</f>
        <v>2934437</v>
      </c>
      <c r="C93" s="33">
        <v>285756</v>
      </c>
      <c r="D93" s="80">
        <f t="shared" si="29"/>
        <v>9.7380178889511004E-2</v>
      </c>
      <c r="E93" s="33">
        <v>285756</v>
      </c>
      <c r="F93" s="33">
        <v>150000</v>
      </c>
      <c r="G93" s="33">
        <v>500000</v>
      </c>
      <c r="H93" s="89">
        <f t="shared" si="30"/>
        <v>3584437</v>
      </c>
      <c r="I93" s="145">
        <f t="shared" si="31"/>
        <v>0.1813394962723574</v>
      </c>
      <c r="J93" s="85"/>
    </row>
    <row r="94" spans="1:13" ht="15" x14ac:dyDescent="0.2">
      <c r="A94" s="34" t="s">
        <v>155</v>
      </c>
      <c r="B94" s="38">
        <f>+SUM('2-Revenue'!M11+'2-Revenue'!M13+'2-Revenue'!M15+'2-Revenue'!M17+'2-Revenue'!M19)</f>
        <v>0</v>
      </c>
      <c r="C94" s="33">
        <f>0</f>
        <v>0</v>
      </c>
      <c r="D94" s="80" t="str">
        <f t="shared" si="29"/>
        <v>%</v>
      </c>
      <c r="E94" s="33">
        <f>0</f>
        <v>0</v>
      </c>
      <c r="F94" s="33">
        <f>0</f>
        <v>0</v>
      </c>
      <c r="G94" s="33">
        <f>0</f>
        <v>0</v>
      </c>
      <c r="H94" s="89">
        <f t="shared" si="30"/>
        <v>0</v>
      </c>
      <c r="I94" s="145" t="str">
        <f t="shared" si="31"/>
        <v>%</v>
      </c>
      <c r="J94" s="85"/>
    </row>
    <row r="95" spans="1:13" ht="15.75" thickBot="1" x14ac:dyDescent="0.25">
      <c r="A95" s="35" t="s">
        <v>156</v>
      </c>
      <c r="B95" s="38">
        <f>+SUM('2-Revenue'!M12+'2-Revenue'!M14+'2-Revenue'!M16+'2-Revenue'!M18+'2-Revenue'!M20)</f>
        <v>0</v>
      </c>
      <c r="C95" s="33">
        <f>0</f>
        <v>0</v>
      </c>
      <c r="D95" s="80" t="str">
        <f t="shared" si="29"/>
        <v>%</v>
      </c>
      <c r="E95" s="33">
        <f>0</f>
        <v>0</v>
      </c>
      <c r="F95" s="33">
        <f>0</f>
        <v>0</v>
      </c>
      <c r="G95" s="33">
        <f>0</f>
        <v>0</v>
      </c>
      <c r="H95" s="90">
        <f t="shared" si="30"/>
        <v>0</v>
      </c>
      <c r="I95" s="145" t="str">
        <f t="shared" si="31"/>
        <v>%</v>
      </c>
      <c r="J95" s="85"/>
    </row>
    <row r="96" spans="1:13" ht="15.75" thickBot="1" x14ac:dyDescent="0.25">
      <c r="A96" s="36" t="s">
        <v>157</v>
      </c>
      <c r="B96" s="41">
        <f>SUM(B90:B95)</f>
        <v>57083226</v>
      </c>
      <c r="C96" s="41">
        <f t="shared" ref="C96" si="32">SUM(C90:C95)</f>
        <v>5132867</v>
      </c>
      <c r="D96" s="84">
        <f t="shared" si="29"/>
        <v>8.9919007030191317E-2</v>
      </c>
      <c r="E96" s="41">
        <f t="shared" ref="E96:H96" si="33">SUM(E90:E95)</f>
        <v>5132867</v>
      </c>
      <c r="F96" s="39">
        <f t="shared" si="33"/>
        <v>2000000</v>
      </c>
      <c r="G96" s="39">
        <f t="shared" si="33"/>
        <v>5563176</v>
      </c>
      <c r="H96" s="87">
        <f t="shared" si="33"/>
        <v>64646402</v>
      </c>
      <c r="I96" s="146">
        <f t="shared" si="31"/>
        <v>0.11699299212352143</v>
      </c>
      <c r="J96" s="85"/>
      <c r="M96" s="85"/>
    </row>
    <row r="97" spans="1:13" ht="15" x14ac:dyDescent="0.2">
      <c r="A97" s="161"/>
      <c r="B97" s="162"/>
      <c r="C97" s="162"/>
      <c r="D97" s="163"/>
      <c r="E97" s="162"/>
      <c r="F97" s="164"/>
      <c r="G97" s="164"/>
      <c r="H97" s="164"/>
      <c r="I97" s="165"/>
      <c r="J97" s="85"/>
    </row>
    <row r="98" spans="1:13" ht="15.75" x14ac:dyDescent="0.2">
      <c r="A98" s="439" t="s">
        <v>164</v>
      </c>
      <c r="B98" s="440"/>
      <c r="C98" s="440"/>
      <c r="D98" s="440"/>
      <c r="E98" s="440"/>
      <c r="F98" s="440"/>
      <c r="G98" s="440"/>
      <c r="H98" s="441"/>
      <c r="I98" s="144"/>
      <c r="J98" s="85"/>
    </row>
    <row r="99" spans="1:13" ht="12.75" customHeight="1" x14ac:dyDescent="0.2">
      <c r="A99" s="442" t="s">
        <v>142</v>
      </c>
      <c r="B99" s="442" t="s">
        <v>143</v>
      </c>
      <c r="C99" s="442" t="s">
        <v>144</v>
      </c>
      <c r="D99" s="442" t="s">
        <v>145</v>
      </c>
      <c r="E99" s="442" t="s">
        <v>146</v>
      </c>
      <c r="F99" s="442" t="s">
        <v>147</v>
      </c>
      <c r="G99" s="442" t="s">
        <v>148</v>
      </c>
      <c r="H99" s="442" t="s">
        <v>149</v>
      </c>
      <c r="I99" s="436" t="s">
        <v>150</v>
      </c>
      <c r="J99" s="85"/>
    </row>
    <row r="100" spans="1:13" ht="12.75" customHeight="1" x14ac:dyDescent="0.2">
      <c r="A100" s="443"/>
      <c r="B100" s="443"/>
      <c r="C100" s="443"/>
      <c r="D100" s="443"/>
      <c r="E100" s="443"/>
      <c r="F100" s="443"/>
      <c r="G100" s="443"/>
      <c r="H100" s="443"/>
      <c r="I100" s="437"/>
      <c r="J100" s="85"/>
    </row>
    <row r="101" spans="1:13" ht="12.75" customHeight="1" x14ac:dyDescent="0.2">
      <c r="A101" s="443"/>
      <c r="B101" s="443"/>
      <c r="C101" s="443"/>
      <c r="D101" s="443"/>
      <c r="E101" s="443"/>
      <c r="F101" s="443"/>
      <c r="G101" s="443"/>
      <c r="H101" s="443"/>
      <c r="I101" s="437"/>
      <c r="J101" s="85"/>
    </row>
    <row r="102" spans="1:13" ht="22.5" customHeight="1" thickBot="1" x14ac:dyDescent="0.25">
      <c r="A102" s="444"/>
      <c r="B102" s="444"/>
      <c r="C102" s="444"/>
      <c r="D102" s="444"/>
      <c r="E102" s="444"/>
      <c r="F102" s="444"/>
      <c r="G102" s="444"/>
      <c r="H102" s="444"/>
      <c r="I102" s="438"/>
      <c r="J102" s="85"/>
    </row>
    <row r="103" spans="1:13" ht="15" x14ac:dyDescent="0.2">
      <c r="A103" s="32" t="s">
        <v>110</v>
      </c>
      <c r="B103" s="37">
        <f>+'2-Revenue'!O7</f>
        <v>25616726</v>
      </c>
      <c r="C103" s="33">
        <v>2109255</v>
      </c>
      <c r="D103" s="80">
        <f t="shared" ref="D103:D109" si="34">IF(C103=0,"%",C103/B103)</f>
        <v>8.2338976495278909E-2</v>
      </c>
      <c r="E103" s="33">
        <v>2109255</v>
      </c>
      <c r="F103" s="33">
        <v>750000</v>
      </c>
      <c r="G103" s="33">
        <v>1200000</v>
      </c>
      <c r="H103" s="88">
        <f>B103+F103+G103</f>
        <v>27566726</v>
      </c>
      <c r="I103" s="145">
        <f>IF(H103=0,"%",(F103+G103)/H103)</f>
        <v>7.0737453551792839E-2</v>
      </c>
      <c r="J103" s="85"/>
    </row>
    <row r="104" spans="1:13" ht="15" x14ac:dyDescent="0.2">
      <c r="A104" s="34" t="s">
        <v>111</v>
      </c>
      <c r="B104" s="37">
        <f>+'2-Revenue'!O8</f>
        <v>26594360</v>
      </c>
      <c r="C104" s="33">
        <v>2375644</v>
      </c>
      <c r="D104" s="80">
        <f t="shared" si="34"/>
        <v>8.9328865218038705E-2</v>
      </c>
      <c r="E104" s="33">
        <v>2375644</v>
      </c>
      <c r="F104" s="33">
        <v>1000000</v>
      </c>
      <c r="G104" s="33">
        <v>3463176</v>
      </c>
      <c r="H104" s="89">
        <f t="shared" ref="H104:H108" si="35">B104+F104+G104</f>
        <v>31057536</v>
      </c>
      <c r="I104" s="145">
        <f t="shared" ref="I104:I109" si="36">IF(H104=0,"%",(F104+G104)/H104)</f>
        <v>0.14370669972015809</v>
      </c>
      <c r="J104" s="85"/>
    </row>
    <row r="105" spans="1:13" ht="15" x14ac:dyDescent="0.2">
      <c r="A105" s="34" t="s">
        <v>112</v>
      </c>
      <c r="B105" s="37">
        <f>+'2-Revenue'!O9</f>
        <v>3645787</v>
      </c>
      <c r="C105" s="33">
        <v>319203</v>
      </c>
      <c r="D105" s="80">
        <f t="shared" si="34"/>
        <v>8.7553935542586558E-2</v>
      </c>
      <c r="E105" s="33">
        <v>319203</v>
      </c>
      <c r="F105" s="33">
        <v>100000</v>
      </c>
      <c r="G105" s="33">
        <v>400000</v>
      </c>
      <c r="H105" s="89">
        <f t="shared" si="35"/>
        <v>4145787</v>
      </c>
      <c r="I105" s="145">
        <f t="shared" si="36"/>
        <v>0.12060436293519179</v>
      </c>
      <c r="J105" s="85"/>
    </row>
    <row r="106" spans="1:13" ht="15" x14ac:dyDescent="0.2">
      <c r="A106" s="34" t="s">
        <v>113</v>
      </c>
      <c r="B106" s="37">
        <f>+'2-Revenue'!O10</f>
        <v>3599673</v>
      </c>
      <c r="C106" s="33">
        <v>328765</v>
      </c>
      <c r="D106" s="80">
        <f t="shared" si="34"/>
        <v>9.1331907092672027E-2</v>
      </c>
      <c r="E106" s="33">
        <v>328765</v>
      </c>
      <c r="F106" s="33">
        <v>150000</v>
      </c>
      <c r="G106" s="33">
        <v>500000</v>
      </c>
      <c r="H106" s="89">
        <f t="shared" si="35"/>
        <v>4249673</v>
      </c>
      <c r="I106" s="145">
        <f t="shared" si="36"/>
        <v>0.15295294485010966</v>
      </c>
      <c r="J106" s="85"/>
    </row>
    <row r="107" spans="1:13" ht="15" x14ac:dyDescent="0.2">
      <c r="A107" s="34" t="s">
        <v>155</v>
      </c>
      <c r="B107" s="38">
        <f>+SUM('2-Revenue'!O11+'2-Revenue'!O13+'2-Revenue'!O15+'2-Revenue'!O17+'2-Revenue'!O19)</f>
        <v>0</v>
      </c>
      <c r="C107" s="33">
        <f>0</f>
        <v>0</v>
      </c>
      <c r="D107" s="80" t="str">
        <f t="shared" si="34"/>
        <v>%</v>
      </c>
      <c r="E107" s="33">
        <f>0</f>
        <v>0</v>
      </c>
      <c r="F107" s="33">
        <f>0</f>
        <v>0</v>
      </c>
      <c r="G107" s="33">
        <f>0</f>
        <v>0</v>
      </c>
      <c r="H107" s="89">
        <f t="shared" si="35"/>
        <v>0</v>
      </c>
      <c r="I107" s="145" t="str">
        <f t="shared" si="36"/>
        <v>%</v>
      </c>
      <c r="J107" s="85"/>
    </row>
    <row r="108" spans="1:13" ht="15.75" thickBot="1" x14ac:dyDescent="0.25">
      <c r="A108" s="35" t="s">
        <v>156</v>
      </c>
      <c r="B108" s="38">
        <f>+SUM('2-Revenue'!O12+'2-Revenue'!O14+'2-Revenue'!O16+'2-Revenue'!O18+'2-Revenue'!O20)</f>
        <v>0</v>
      </c>
      <c r="C108" s="33">
        <f>0</f>
        <v>0</v>
      </c>
      <c r="D108" s="80" t="str">
        <f t="shared" si="34"/>
        <v>%</v>
      </c>
      <c r="E108" s="33">
        <f>0</f>
        <v>0</v>
      </c>
      <c r="F108" s="33">
        <f>0</f>
        <v>0</v>
      </c>
      <c r="G108" s="33">
        <f>0</f>
        <v>0</v>
      </c>
      <c r="H108" s="90">
        <f t="shared" si="35"/>
        <v>0</v>
      </c>
      <c r="I108" s="145" t="str">
        <f t="shared" si="36"/>
        <v>%</v>
      </c>
      <c r="J108" s="85"/>
    </row>
    <row r="109" spans="1:13" ht="15.75" thickBot="1" x14ac:dyDescent="0.25">
      <c r="A109" s="36" t="s">
        <v>157</v>
      </c>
      <c r="B109" s="41">
        <f>SUM(B103:B108)</f>
        <v>59456546</v>
      </c>
      <c r="C109" s="41">
        <f t="shared" ref="C109" si="37">SUM(C103:C108)</f>
        <v>5132867</v>
      </c>
      <c r="D109" s="84">
        <f t="shared" si="34"/>
        <v>8.632972053236998E-2</v>
      </c>
      <c r="E109" s="41">
        <f t="shared" ref="E109:H109" si="38">SUM(E103:E108)</f>
        <v>5132867</v>
      </c>
      <c r="F109" s="39">
        <f t="shared" si="38"/>
        <v>2000000</v>
      </c>
      <c r="G109" s="39">
        <f t="shared" si="38"/>
        <v>5563176</v>
      </c>
      <c r="H109" s="87">
        <f t="shared" si="38"/>
        <v>67019722</v>
      </c>
      <c r="I109" s="146">
        <f t="shared" si="36"/>
        <v>0.11285000555508123</v>
      </c>
      <c r="J109" s="85"/>
      <c r="M109" s="85"/>
    </row>
    <row r="111" spans="1:13" ht="72.75" customHeight="1" x14ac:dyDescent="0.2">
      <c r="A111" s="456" t="s">
        <v>165</v>
      </c>
      <c r="B111" s="456"/>
      <c r="C111" s="456"/>
      <c r="D111" s="456"/>
      <c r="E111" s="456"/>
      <c r="F111" s="456"/>
      <c r="G111" s="456"/>
      <c r="H111" s="456"/>
      <c r="I111" s="148"/>
    </row>
  </sheetData>
  <sortState xmlns:xlrd2="http://schemas.microsoft.com/office/spreadsheetml/2017/richdata2" ref="O26:R28">
    <sortCondition ref="O25:O28"/>
  </sortState>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7" right="0.7" top="0.75" bottom="0.75" header="0.3" footer="0.3"/>
  <pageSetup paperSize="5" scale="49" fitToHeight="3" orientation="landscape"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7"/>
  <sheetViews>
    <sheetView zoomScale="75" zoomScaleNormal="75" workbookViewId="0">
      <selection activeCell="A11" sqref="A11"/>
    </sheetView>
  </sheetViews>
  <sheetFormatPr defaultColWidth="9.140625" defaultRowHeight="12.75" x14ac:dyDescent="0.2"/>
  <cols>
    <col min="1" max="1" width="9.85546875" style="99" customWidth="1"/>
    <col min="2" max="2" width="7.140625" style="99" customWidth="1"/>
    <col min="3" max="3" width="51.7109375" style="326" customWidth="1"/>
    <col min="4" max="4" width="18.5703125" style="99" customWidth="1"/>
    <col min="5" max="5" width="15.42578125" style="99" customWidth="1"/>
    <col min="6" max="7" width="18.5703125" style="99" customWidth="1"/>
    <col min="8" max="8" width="21.85546875" style="99" customWidth="1"/>
    <col min="9" max="9" width="18.42578125" style="99" customWidth="1"/>
    <col min="10" max="11" width="20.28515625" style="99" customWidth="1"/>
    <col min="12" max="12" width="22.140625" style="99" customWidth="1"/>
    <col min="13" max="13" width="20.140625" style="99" customWidth="1"/>
    <col min="14" max="15" width="20.28515625" style="99" customWidth="1"/>
    <col min="16" max="16" width="18.140625" style="99" customWidth="1"/>
    <col min="17" max="17" width="16.7109375" style="99" customWidth="1"/>
    <col min="18" max="16384" width="9.140625" style="99"/>
  </cols>
  <sheetData>
    <row r="1" spans="1:21" ht="20.100000000000001" customHeight="1" x14ac:dyDescent="0.2">
      <c r="A1" s="185" t="s">
        <v>166</v>
      </c>
      <c r="B1" s="185"/>
      <c r="C1" s="316"/>
      <c r="D1" s="185"/>
      <c r="E1" s="185"/>
      <c r="F1" s="185"/>
      <c r="G1" s="185"/>
      <c r="H1" s="185"/>
      <c r="I1" s="185"/>
      <c r="J1" s="185"/>
      <c r="K1" s="185"/>
      <c r="L1" s="185"/>
      <c r="M1" s="185"/>
      <c r="N1" s="185"/>
      <c r="O1" s="185"/>
    </row>
    <row r="2" spans="1:21" ht="20.100000000000001" customHeight="1" x14ac:dyDescent="0.2">
      <c r="A2" s="476" t="str">
        <f>'Institution ID'!C3</f>
        <v>Institution Name:   Norfolk State University</v>
      </c>
      <c r="B2" s="476"/>
      <c r="C2" s="476"/>
      <c r="D2" s="476"/>
      <c r="E2" s="476"/>
      <c r="F2" s="476"/>
      <c r="G2" s="476"/>
      <c r="H2" s="476"/>
      <c r="I2" s="476"/>
      <c r="J2" s="476"/>
      <c r="K2" s="378"/>
      <c r="L2" s="378"/>
      <c r="M2" s="378"/>
      <c r="N2" s="378"/>
      <c r="O2" s="378"/>
    </row>
    <row r="3" spans="1:21" ht="297.75" customHeight="1" x14ac:dyDescent="0.2">
      <c r="A3" s="477" t="s">
        <v>167</v>
      </c>
      <c r="B3" s="477"/>
      <c r="C3" s="477"/>
      <c r="D3" s="477"/>
      <c r="E3" s="477"/>
      <c r="F3" s="477"/>
      <c r="G3" s="477"/>
      <c r="H3" s="477"/>
      <c r="I3" s="477"/>
      <c r="J3" s="477"/>
      <c r="K3" s="477"/>
      <c r="L3" s="477"/>
      <c r="M3" s="477"/>
      <c r="N3" s="477"/>
      <c r="O3" s="477"/>
      <c r="P3" s="477"/>
      <c r="Q3" s="477"/>
    </row>
    <row r="4" spans="1:21" ht="30.75" customHeight="1" thickBot="1" x14ac:dyDescent="0.25">
      <c r="A4" s="379"/>
      <c r="B4" s="478" t="s">
        <v>168</v>
      </c>
      <c r="C4" s="478"/>
      <c r="D4" s="478"/>
      <c r="E4" s="379"/>
      <c r="F4" s="379"/>
      <c r="G4" s="379"/>
      <c r="H4" s="327" t="s">
        <v>169</v>
      </c>
      <c r="I4" s="379"/>
      <c r="J4" s="379"/>
      <c r="K4" s="379"/>
      <c r="L4" s="327" t="s">
        <v>170</v>
      </c>
      <c r="M4" s="379"/>
      <c r="N4" s="379"/>
      <c r="O4" s="379"/>
      <c r="P4" s="379"/>
      <c r="Q4" s="379"/>
    </row>
    <row r="5" spans="1:21" ht="20.100000000000001" customHeight="1" x14ac:dyDescent="0.2">
      <c r="A5" s="213"/>
      <c r="B5" s="191" t="s">
        <v>171</v>
      </c>
      <c r="C5" s="317"/>
      <c r="D5" s="388">
        <v>115645541.51999994</v>
      </c>
      <c r="E5" s="184"/>
      <c r="F5" s="184"/>
      <c r="G5" s="184"/>
      <c r="H5" s="328" t="s">
        <v>172</v>
      </c>
      <c r="I5" s="184"/>
      <c r="J5" s="184"/>
      <c r="K5" s="184"/>
      <c r="L5" s="328" t="s">
        <v>172</v>
      </c>
      <c r="M5" s="184"/>
      <c r="N5" s="184"/>
      <c r="O5" s="184"/>
      <c r="P5" s="184"/>
    </row>
    <row r="6" spans="1:21" ht="20.100000000000001" customHeight="1" thickBot="1" x14ac:dyDescent="0.25">
      <c r="A6" s="213"/>
      <c r="B6" s="192" t="s">
        <v>173</v>
      </c>
      <c r="C6" s="318"/>
      <c r="D6" s="389">
        <f>125072736</f>
        <v>125072736</v>
      </c>
      <c r="E6" s="184"/>
      <c r="F6" s="184"/>
      <c r="G6" s="391"/>
      <c r="H6" s="392">
        <f>IFERROR(SUM(H12:H18,H22)/SUM(E12:E18,E22),"%")</f>
        <v>0.48191825083820183</v>
      </c>
      <c r="I6" s="184"/>
      <c r="J6" s="184"/>
      <c r="K6" s="184"/>
      <c r="L6" s="392">
        <f>IFERROR(SUM(L12:L18,L22)/SUM(I12:I18,I22),"%")</f>
        <v>0.4819997397828964</v>
      </c>
      <c r="M6" s="184"/>
      <c r="N6" s="184"/>
      <c r="O6" s="184"/>
      <c r="P6" s="184"/>
    </row>
    <row r="7" spans="1:21" ht="20.100000000000001" customHeight="1" x14ac:dyDescent="0.2">
      <c r="A7" s="213"/>
      <c r="B7" s="186"/>
      <c r="C7" s="319"/>
      <c r="D7" s="187"/>
      <c r="E7" s="184"/>
      <c r="F7" s="184"/>
      <c r="G7" s="184"/>
      <c r="H7" s="329"/>
      <c r="I7" s="184"/>
      <c r="J7" s="184"/>
      <c r="K7" s="184"/>
      <c r="L7" s="329"/>
      <c r="M7" s="184"/>
      <c r="N7" s="184"/>
      <c r="O7" s="184"/>
      <c r="P7" s="184"/>
    </row>
    <row r="8" spans="1:21" ht="20.100000000000001" customHeight="1" x14ac:dyDescent="0.2">
      <c r="A8" s="213"/>
      <c r="B8" s="186"/>
      <c r="C8" s="319"/>
      <c r="D8" s="187"/>
      <c r="E8" s="484" t="s">
        <v>174</v>
      </c>
      <c r="F8" s="485"/>
      <c r="G8" s="485"/>
      <c r="H8" s="485"/>
      <c r="I8" s="485"/>
      <c r="J8" s="485"/>
      <c r="K8" s="485"/>
      <c r="L8" s="485"/>
      <c r="M8" s="485"/>
      <c r="N8" s="485"/>
      <c r="O8" s="485"/>
      <c r="P8" s="486"/>
    </row>
    <row r="9" spans="1:21" ht="16.5" customHeight="1" x14ac:dyDescent="0.2">
      <c r="A9" s="214"/>
      <c r="B9" s="474"/>
      <c r="C9" s="475"/>
      <c r="D9" s="215"/>
      <c r="E9" s="479" t="s">
        <v>175</v>
      </c>
      <c r="F9" s="480"/>
      <c r="G9" s="480"/>
      <c r="H9" s="481"/>
      <c r="I9" s="479" t="s">
        <v>176</v>
      </c>
      <c r="J9" s="480"/>
      <c r="K9" s="480"/>
      <c r="L9" s="481"/>
      <c r="M9" s="203" t="s">
        <v>177</v>
      </c>
      <c r="N9" s="203" t="s">
        <v>178</v>
      </c>
      <c r="O9" s="203" t="s">
        <v>179</v>
      </c>
      <c r="P9" s="203" t="s">
        <v>180</v>
      </c>
      <c r="Q9" s="482" t="s">
        <v>181</v>
      </c>
    </row>
    <row r="10" spans="1:21" ht="60.75" customHeight="1" x14ac:dyDescent="0.2">
      <c r="A10" s="214"/>
      <c r="B10" s="216"/>
      <c r="C10" s="320" t="s">
        <v>182</v>
      </c>
      <c r="D10" s="203"/>
      <c r="E10" s="204" t="s">
        <v>183</v>
      </c>
      <c r="F10" s="205" t="s">
        <v>184</v>
      </c>
      <c r="G10" s="205" t="s">
        <v>185</v>
      </c>
      <c r="H10" s="206" t="s">
        <v>186</v>
      </c>
      <c r="I10" s="204" t="s">
        <v>183</v>
      </c>
      <c r="J10" s="205" t="s">
        <v>184</v>
      </c>
      <c r="K10" s="205" t="s">
        <v>185</v>
      </c>
      <c r="L10" s="206" t="s">
        <v>186</v>
      </c>
      <c r="M10" s="203" t="s">
        <v>187</v>
      </c>
      <c r="N10" s="203" t="s">
        <v>187</v>
      </c>
      <c r="O10" s="203" t="s">
        <v>187</v>
      </c>
      <c r="P10" s="203" t="s">
        <v>187</v>
      </c>
      <c r="Q10" s="483"/>
    </row>
    <row r="11" spans="1:21" ht="15.75" x14ac:dyDescent="0.2">
      <c r="A11" s="214"/>
      <c r="B11" s="217" t="s">
        <v>188</v>
      </c>
      <c r="C11" s="321"/>
      <c r="D11" s="195"/>
      <c r="E11" s="198"/>
      <c r="F11" s="193"/>
      <c r="G11" s="193"/>
      <c r="H11" s="199"/>
      <c r="I11" s="198"/>
      <c r="J11" s="193"/>
      <c r="K11" s="193"/>
      <c r="L11" s="199"/>
      <c r="M11" s="195"/>
      <c r="N11" s="195"/>
      <c r="O11" s="195"/>
      <c r="P11" s="195"/>
      <c r="Q11" s="218"/>
    </row>
    <row r="12" spans="1:21" ht="37.5" customHeight="1" x14ac:dyDescent="0.2">
      <c r="A12" s="188"/>
      <c r="B12" s="219"/>
      <c r="C12" s="237" t="s">
        <v>189</v>
      </c>
      <c r="D12" s="196"/>
      <c r="E12" s="209">
        <f>SUM(F12:H12)</f>
        <v>511581</v>
      </c>
      <c r="F12" s="210">
        <f>0</f>
        <v>0</v>
      </c>
      <c r="G12" s="210">
        <v>264999</v>
      </c>
      <c r="H12" s="211">
        <v>246582</v>
      </c>
      <c r="I12" s="209">
        <f>SUM(J12:L12)</f>
        <v>1033394</v>
      </c>
      <c r="J12" s="210">
        <f>0</f>
        <v>0</v>
      </c>
      <c r="K12" s="210">
        <v>535298</v>
      </c>
      <c r="L12" s="211">
        <v>498096</v>
      </c>
      <c r="M12" s="212">
        <v>1565643</v>
      </c>
      <c r="N12" s="212">
        <v>2108537</v>
      </c>
      <c r="O12" s="212">
        <v>2662290</v>
      </c>
      <c r="P12" s="212">
        <v>3227117</v>
      </c>
      <c r="Q12" s="387" t="s">
        <v>190</v>
      </c>
    </row>
    <row r="13" spans="1:21" ht="37.5" customHeight="1" x14ac:dyDescent="0.2">
      <c r="A13" s="188"/>
      <c r="B13" s="219"/>
      <c r="C13" s="237" t="s">
        <v>191</v>
      </c>
      <c r="D13" s="196"/>
      <c r="E13" s="209">
        <f>SUM(F13:H13)</f>
        <v>328907</v>
      </c>
      <c r="F13" s="210">
        <f>0</f>
        <v>0</v>
      </c>
      <c r="G13" s="210">
        <v>170374</v>
      </c>
      <c r="H13" s="211">
        <v>158533</v>
      </c>
      <c r="I13" s="209">
        <f>SUM(J13:L13)</f>
        <v>664391</v>
      </c>
      <c r="J13" s="210">
        <f>0</f>
        <v>0</v>
      </c>
      <c r="K13" s="210">
        <v>344155</v>
      </c>
      <c r="L13" s="211">
        <v>320236</v>
      </c>
      <c r="M13" s="212">
        <v>1006586</v>
      </c>
      <c r="N13" s="212">
        <v>1355624</v>
      </c>
      <c r="O13" s="212">
        <v>1711644</v>
      </c>
      <c r="P13" s="212">
        <v>2074783</v>
      </c>
      <c r="Q13" s="387" t="s">
        <v>190</v>
      </c>
      <c r="U13" s="393"/>
    </row>
    <row r="14" spans="1:21" ht="37.5" customHeight="1" x14ac:dyDescent="0.2">
      <c r="A14" s="188"/>
      <c r="B14" s="219"/>
      <c r="C14" s="322" t="s">
        <v>192</v>
      </c>
      <c r="D14" s="196"/>
      <c r="E14" s="209">
        <f>SUM(F14:H14)</f>
        <v>481675</v>
      </c>
      <c r="F14" s="210">
        <f>0</f>
        <v>0</v>
      </c>
      <c r="G14" s="210">
        <v>249508</v>
      </c>
      <c r="H14" s="211">
        <v>232167</v>
      </c>
      <c r="I14" s="209">
        <f>SUM(J14:L14)</f>
        <v>972984</v>
      </c>
      <c r="J14" s="210">
        <f>0</f>
        <v>0</v>
      </c>
      <c r="K14" s="210">
        <v>504006</v>
      </c>
      <c r="L14" s="211">
        <v>468978</v>
      </c>
      <c r="M14" s="212">
        <v>1474120</v>
      </c>
      <c r="N14" s="212">
        <v>1985277</v>
      </c>
      <c r="O14" s="212">
        <v>2506658</v>
      </c>
      <c r="P14" s="212">
        <v>3038467</v>
      </c>
      <c r="Q14" s="387" t="s">
        <v>190</v>
      </c>
    </row>
    <row r="15" spans="1:21" ht="37.5" customHeight="1" x14ac:dyDescent="0.2">
      <c r="A15" s="188"/>
      <c r="B15" s="219"/>
      <c r="C15" s="237" t="s">
        <v>193</v>
      </c>
      <c r="D15" s="196"/>
      <c r="E15" s="209">
        <f>SUM(F15:H15)</f>
        <v>0</v>
      </c>
      <c r="F15" s="210">
        <f>0</f>
        <v>0</v>
      </c>
      <c r="G15" s="210">
        <v>0</v>
      </c>
      <c r="H15" s="211">
        <v>0</v>
      </c>
      <c r="I15" s="209">
        <f>SUM(J15:L15)</f>
        <v>0</v>
      </c>
      <c r="J15" s="210">
        <f>0</f>
        <v>0</v>
      </c>
      <c r="K15" s="210">
        <f>0</f>
        <v>0</v>
      </c>
      <c r="L15" s="211">
        <f>0</f>
        <v>0</v>
      </c>
      <c r="M15" s="212">
        <f>0</f>
        <v>0</v>
      </c>
      <c r="N15" s="212">
        <f>0</f>
        <v>0</v>
      </c>
      <c r="O15" s="212">
        <f>0</f>
        <v>0</v>
      </c>
      <c r="P15" s="212">
        <f>0</f>
        <v>0</v>
      </c>
      <c r="Q15" s="387"/>
    </row>
    <row r="16" spans="1:21" ht="37.5" customHeight="1" x14ac:dyDescent="0.2">
      <c r="A16" s="188"/>
      <c r="B16" s="219"/>
      <c r="C16" s="237" t="s">
        <v>194</v>
      </c>
      <c r="D16" s="196"/>
      <c r="E16" s="209">
        <f t="shared" ref="E16:E17" si="0">SUM(F16:H16)</f>
        <v>17453</v>
      </c>
      <c r="F16" s="210">
        <f>0</f>
        <v>0</v>
      </c>
      <c r="G16" s="210">
        <v>9041</v>
      </c>
      <c r="H16" s="211">
        <v>8412</v>
      </c>
      <c r="I16" s="209">
        <f t="shared" ref="I16:I17" si="1">SUM(J16:L16)</f>
        <v>35254</v>
      </c>
      <c r="J16" s="210">
        <f>0</f>
        <v>0</v>
      </c>
      <c r="K16" s="210">
        <v>18262</v>
      </c>
      <c r="L16" s="211">
        <v>16992</v>
      </c>
      <c r="M16" s="212">
        <v>53411</v>
      </c>
      <c r="N16" s="212">
        <v>71931</v>
      </c>
      <c r="O16" s="212">
        <v>90822</v>
      </c>
      <c r="P16" s="212">
        <v>110091</v>
      </c>
      <c r="Q16" s="387" t="s">
        <v>190</v>
      </c>
    </row>
    <row r="17" spans="1:17" ht="37.5" customHeight="1" x14ac:dyDescent="0.2">
      <c r="A17" s="188"/>
      <c r="B17" s="219"/>
      <c r="C17" s="237" t="s">
        <v>195</v>
      </c>
      <c r="D17" s="196"/>
      <c r="E17" s="209">
        <f t="shared" si="0"/>
        <v>118413</v>
      </c>
      <c r="F17" s="210">
        <f>0</f>
        <v>0</v>
      </c>
      <c r="G17" s="210">
        <v>61338</v>
      </c>
      <c r="H17" s="211">
        <v>57075</v>
      </c>
      <c r="I17" s="209">
        <f t="shared" si="1"/>
        <v>239193</v>
      </c>
      <c r="J17" s="210">
        <f>0</f>
        <v>0</v>
      </c>
      <c r="K17" s="210">
        <v>123902</v>
      </c>
      <c r="L17" s="211">
        <v>115291</v>
      </c>
      <c r="M17" s="212">
        <v>362390</v>
      </c>
      <c r="N17" s="212">
        <v>488050</v>
      </c>
      <c r="O17" s="212">
        <v>616223</v>
      </c>
      <c r="P17" s="212">
        <v>746960</v>
      </c>
      <c r="Q17" s="387" t="s">
        <v>190</v>
      </c>
    </row>
    <row r="18" spans="1:17" ht="38.25" x14ac:dyDescent="0.2">
      <c r="A18" s="188"/>
      <c r="B18" s="219"/>
      <c r="C18" s="237" t="s">
        <v>196</v>
      </c>
      <c r="D18" s="196"/>
      <c r="E18" s="209">
        <f t="shared" ref="E18:E20" si="2">SUM(F18:H18)</f>
        <v>258579</v>
      </c>
      <c r="F18" s="210">
        <f>0</f>
        <v>0</v>
      </c>
      <c r="G18" s="210">
        <v>133944</v>
      </c>
      <c r="H18" s="211">
        <v>124635</v>
      </c>
      <c r="I18" s="209">
        <f t="shared" ref="I18:I20" si="3">SUM(J18:L18)</f>
        <v>524915</v>
      </c>
      <c r="J18" s="210">
        <f>0</f>
        <v>0</v>
      </c>
      <c r="K18" s="210">
        <v>271906</v>
      </c>
      <c r="L18" s="211">
        <v>253009</v>
      </c>
      <c r="M18" s="212">
        <v>799241</v>
      </c>
      <c r="N18" s="212">
        <v>1081797</v>
      </c>
      <c r="O18" s="212">
        <v>1372830</v>
      </c>
      <c r="P18" s="212">
        <v>1672594</v>
      </c>
      <c r="Q18" s="387" t="s">
        <v>197</v>
      </c>
    </row>
    <row r="19" spans="1:17" ht="37.5" customHeight="1" x14ac:dyDescent="0.2">
      <c r="A19" s="188"/>
      <c r="B19" s="219"/>
      <c r="C19" s="237" t="s">
        <v>198</v>
      </c>
      <c r="D19" s="196"/>
      <c r="E19" s="209">
        <f t="shared" ref="E19" si="4">SUM(F19:H19)</f>
        <v>0</v>
      </c>
      <c r="F19" s="210">
        <f>0</f>
        <v>0</v>
      </c>
      <c r="G19" s="210">
        <f>0</f>
        <v>0</v>
      </c>
      <c r="H19" s="315"/>
      <c r="I19" s="209">
        <f t="shared" ref="I19" si="5">SUM(J19:L19)</f>
        <v>0</v>
      </c>
      <c r="J19" s="210">
        <f>0</f>
        <v>0</v>
      </c>
      <c r="K19" s="210">
        <f>0</f>
        <v>0</v>
      </c>
      <c r="L19" s="315"/>
      <c r="M19" s="212">
        <f>0</f>
        <v>0</v>
      </c>
      <c r="N19" s="212">
        <f>0</f>
        <v>0</v>
      </c>
      <c r="O19" s="212">
        <f>0</f>
        <v>0</v>
      </c>
      <c r="P19" s="212">
        <f>0</f>
        <v>0</v>
      </c>
      <c r="Q19" s="220"/>
    </row>
    <row r="20" spans="1:17" ht="37.5" customHeight="1" x14ac:dyDescent="0.2">
      <c r="A20" s="188"/>
      <c r="B20" s="219"/>
      <c r="C20" s="237" t="s">
        <v>198</v>
      </c>
      <c r="D20" s="196"/>
      <c r="E20" s="209">
        <f t="shared" si="2"/>
        <v>0</v>
      </c>
      <c r="F20" s="210">
        <f>0</f>
        <v>0</v>
      </c>
      <c r="G20" s="210">
        <f>0</f>
        <v>0</v>
      </c>
      <c r="H20" s="315"/>
      <c r="I20" s="209">
        <f t="shared" si="3"/>
        <v>0</v>
      </c>
      <c r="J20" s="210">
        <f>0</f>
        <v>0</v>
      </c>
      <c r="K20" s="210">
        <f>0</f>
        <v>0</v>
      </c>
      <c r="L20" s="315"/>
      <c r="M20" s="212">
        <f>0</f>
        <v>0</v>
      </c>
      <c r="N20" s="212">
        <f>0</f>
        <v>0</v>
      </c>
      <c r="O20" s="212">
        <f>0</f>
        <v>0</v>
      </c>
      <c r="P20" s="212">
        <f>0</f>
        <v>0</v>
      </c>
      <c r="Q20" s="220"/>
    </row>
    <row r="21" spans="1:17" ht="20.100000000000001" customHeight="1" x14ac:dyDescent="0.2">
      <c r="A21" s="188"/>
      <c r="B21" s="217" t="s">
        <v>199</v>
      </c>
      <c r="C21" s="323"/>
      <c r="D21" s="197"/>
      <c r="E21" s="200"/>
      <c r="F21" s="194"/>
      <c r="G21" s="194"/>
      <c r="H21" s="201"/>
      <c r="I21" s="200"/>
      <c r="J21" s="194"/>
      <c r="K21" s="194"/>
      <c r="L21" s="201"/>
      <c r="M21" s="202"/>
      <c r="N21" s="202"/>
      <c r="O21" s="202"/>
      <c r="P21" s="202"/>
      <c r="Q21" s="218"/>
    </row>
    <row r="22" spans="1:17" ht="37.5" customHeight="1" x14ac:dyDescent="0.2">
      <c r="A22" s="188"/>
      <c r="B22" s="216"/>
      <c r="C22" s="237" t="s">
        <v>200</v>
      </c>
      <c r="D22" s="196"/>
      <c r="E22" s="209">
        <f t="shared" ref="E22:E27" si="6">SUM(F22:H22)</f>
        <v>9110</v>
      </c>
      <c r="F22" s="210">
        <f>0</f>
        <v>0</v>
      </c>
      <c r="G22" s="210">
        <v>4859</v>
      </c>
      <c r="H22" s="211">
        <v>4251</v>
      </c>
      <c r="I22" s="209">
        <f t="shared" ref="I22:I27" si="7">SUM(J22:L22)</f>
        <v>19263</v>
      </c>
      <c r="J22" s="210">
        <f>0</f>
        <v>0</v>
      </c>
      <c r="K22" s="210">
        <v>9978</v>
      </c>
      <c r="L22" s="211">
        <v>9285</v>
      </c>
      <c r="M22" s="212">
        <v>29675</v>
      </c>
      <c r="N22" s="212">
        <v>40646</v>
      </c>
      <c r="O22" s="212">
        <v>52205</v>
      </c>
      <c r="P22" s="212">
        <v>64383</v>
      </c>
      <c r="Q22" s="387" t="s">
        <v>201</v>
      </c>
    </row>
    <row r="23" spans="1:17" ht="37.5" customHeight="1" x14ac:dyDescent="0.2">
      <c r="A23" s="188"/>
      <c r="B23" s="216"/>
      <c r="C23" s="237" t="s">
        <v>202</v>
      </c>
      <c r="D23" s="196"/>
      <c r="E23" s="210">
        <f>0</f>
        <v>0</v>
      </c>
      <c r="F23" s="210">
        <f>0</f>
        <v>0</v>
      </c>
      <c r="G23" s="210">
        <f>0</f>
        <v>0</v>
      </c>
      <c r="H23" s="315"/>
      <c r="I23" s="210">
        <f>0</f>
        <v>0</v>
      </c>
      <c r="J23" s="210">
        <f>0</f>
        <v>0</v>
      </c>
      <c r="K23" s="210">
        <f>0</f>
        <v>0</v>
      </c>
      <c r="L23" s="315"/>
      <c r="M23" s="212">
        <f>0</f>
        <v>0</v>
      </c>
      <c r="N23" s="212">
        <f>0</f>
        <v>0</v>
      </c>
      <c r="O23" s="212">
        <f>0</f>
        <v>0</v>
      </c>
      <c r="P23" s="212">
        <f>0</f>
        <v>0</v>
      </c>
      <c r="Q23" s="220"/>
    </row>
    <row r="24" spans="1:17" ht="51.75" customHeight="1" x14ac:dyDescent="0.2">
      <c r="A24" s="188"/>
      <c r="B24" s="216"/>
      <c r="C24" s="237" t="s">
        <v>203</v>
      </c>
      <c r="D24" s="196"/>
      <c r="E24" s="209">
        <f t="shared" si="6"/>
        <v>200000</v>
      </c>
      <c r="F24" s="210">
        <v>0</v>
      </c>
      <c r="G24" s="210">
        <v>200000</v>
      </c>
      <c r="H24" s="315"/>
      <c r="I24" s="209">
        <f t="shared" si="7"/>
        <v>400000</v>
      </c>
      <c r="J24" s="210">
        <f>0</f>
        <v>0</v>
      </c>
      <c r="K24" s="210">
        <v>400000</v>
      </c>
      <c r="L24" s="315"/>
      <c r="M24" s="212">
        <v>600000</v>
      </c>
      <c r="N24" s="212">
        <v>800000</v>
      </c>
      <c r="O24" s="212">
        <v>1000000</v>
      </c>
      <c r="P24" s="212">
        <v>1200000</v>
      </c>
      <c r="Q24" s="387" t="s">
        <v>204</v>
      </c>
    </row>
    <row r="25" spans="1:17" ht="37.5" customHeight="1" x14ac:dyDescent="0.2">
      <c r="A25" s="188"/>
      <c r="B25" s="219"/>
      <c r="C25" s="237" t="s">
        <v>198</v>
      </c>
      <c r="D25" s="196"/>
      <c r="E25" s="209">
        <f t="shared" si="6"/>
        <v>0</v>
      </c>
      <c r="F25" s="210">
        <f>0</f>
        <v>0</v>
      </c>
      <c r="G25" s="210">
        <f>0</f>
        <v>0</v>
      </c>
      <c r="H25" s="315"/>
      <c r="I25" s="209">
        <f t="shared" si="7"/>
        <v>0</v>
      </c>
      <c r="J25" s="210">
        <f>0</f>
        <v>0</v>
      </c>
      <c r="K25" s="210">
        <f>0</f>
        <v>0</v>
      </c>
      <c r="L25" s="315"/>
      <c r="M25" s="212">
        <f>0</f>
        <v>0</v>
      </c>
      <c r="N25" s="212">
        <f>0</f>
        <v>0</v>
      </c>
      <c r="O25" s="212">
        <f>0</f>
        <v>0</v>
      </c>
      <c r="P25" s="212">
        <f>0</f>
        <v>0</v>
      </c>
      <c r="Q25" s="220"/>
    </row>
    <row r="26" spans="1:17" ht="37.5" customHeight="1" x14ac:dyDescent="0.2">
      <c r="A26" s="188"/>
      <c r="B26" s="219"/>
      <c r="C26" s="237" t="s">
        <v>198</v>
      </c>
      <c r="D26" s="196"/>
      <c r="E26" s="209">
        <f t="shared" si="6"/>
        <v>0</v>
      </c>
      <c r="F26" s="210">
        <f>0</f>
        <v>0</v>
      </c>
      <c r="G26" s="210">
        <f>0</f>
        <v>0</v>
      </c>
      <c r="H26" s="315"/>
      <c r="I26" s="209">
        <f t="shared" si="7"/>
        <v>0</v>
      </c>
      <c r="J26" s="210">
        <f>0</f>
        <v>0</v>
      </c>
      <c r="K26" s="210">
        <f>0</f>
        <v>0</v>
      </c>
      <c r="L26" s="315"/>
      <c r="M26" s="212">
        <f>0</f>
        <v>0</v>
      </c>
      <c r="N26" s="212">
        <f>0</f>
        <v>0</v>
      </c>
      <c r="O26" s="212">
        <f>0</f>
        <v>0</v>
      </c>
      <c r="P26" s="212">
        <f>0</f>
        <v>0</v>
      </c>
      <c r="Q26" s="220"/>
    </row>
    <row r="27" spans="1:17" ht="37.5" customHeight="1" x14ac:dyDescent="0.2">
      <c r="A27" s="188"/>
      <c r="B27" s="219"/>
      <c r="C27" s="237" t="s">
        <v>198</v>
      </c>
      <c r="D27" s="196"/>
      <c r="E27" s="209">
        <f t="shared" si="6"/>
        <v>0</v>
      </c>
      <c r="F27" s="210">
        <f>0</f>
        <v>0</v>
      </c>
      <c r="G27" s="210">
        <f>0</f>
        <v>0</v>
      </c>
      <c r="H27" s="315"/>
      <c r="I27" s="209">
        <f t="shared" si="7"/>
        <v>0</v>
      </c>
      <c r="J27" s="210">
        <f>0</f>
        <v>0</v>
      </c>
      <c r="K27" s="210">
        <f>0</f>
        <v>0</v>
      </c>
      <c r="L27" s="315"/>
      <c r="M27" s="212">
        <f>0</f>
        <v>0</v>
      </c>
      <c r="N27" s="212">
        <f>0</f>
        <v>0</v>
      </c>
      <c r="O27" s="212">
        <f>0</f>
        <v>0</v>
      </c>
      <c r="P27" s="212">
        <f>0</f>
        <v>0</v>
      </c>
      <c r="Q27" s="220"/>
    </row>
    <row r="28" spans="1:17" ht="20.100000000000001" customHeight="1" x14ac:dyDescent="0.2">
      <c r="A28" s="188"/>
      <c r="B28" s="217" t="s">
        <v>205</v>
      </c>
      <c r="C28" s="323"/>
      <c r="D28" s="197"/>
      <c r="E28" s="200"/>
      <c r="F28" s="194"/>
      <c r="G28" s="194"/>
      <c r="H28" s="201"/>
      <c r="I28" s="200"/>
      <c r="J28" s="194"/>
      <c r="K28" s="194"/>
      <c r="L28" s="201"/>
      <c r="M28" s="202"/>
      <c r="N28" s="202"/>
      <c r="O28" s="202"/>
      <c r="P28" s="202"/>
      <c r="Q28" s="218"/>
    </row>
    <row r="29" spans="1:17" ht="37.5" customHeight="1" x14ac:dyDescent="0.2">
      <c r="A29" s="188"/>
      <c r="B29" s="216"/>
      <c r="C29" s="322" t="s">
        <v>206</v>
      </c>
      <c r="D29" s="196"/>
      <c r="E29" s="209">
        <f t="shared" ref="E29:E30" si="8">SUM(F29:H29)</f>
        <v>0</v>
      </c>
      <c r="F29" s="210">
        <f>0</f>
        <v>0</v>
      </c>
      <c r="G29" s="210">
        <f>0</f>
        <v>0</v>
      </c>
      <c r="H29" s="315"/>
      <c r="I29" s="209">
        <f t="shared" ref="I29:I30" si="9">SUM(J29:L29)</f>
        <v>0</v>
      </c>
      <c r="J29" s="210">
        <f>0</f>
        <v>0</v>
      </c>
      <c r="K29" s="210">
        <f>0</f>
        <v>0</v>
      </c>
      <c r="L29" s="315"/>
      <c r="M29" s="212">
        <f>0</f>
        <v>0</v>
      </c>
      <c r="N29" s="212">
        <f>0</f>
        <v>0</v>
      </c>
      <c r="O29" s="212">
        <f>0</f>
        <v>0</v>
      </c>
      <c r="P29" s="212">
        <f>0</f>
        <v>0</v>
      </c>
      <c r="Q29" s="220"/>
    </row>
    <row r="30" spans="1:17" ht="37.5" customHeight="1" x14ac:dyDescent="0.2">
      <c r="A30" s="188"/>
      <c r="B30" s="216"/>
      <c r="C30" s="322" t="s">
        <v>207</v>
      </c>
      <c r="D30" s="196"/>
      <c r="E30" s="209">
        <f t="shared" si="8"/>
        <v>0</v>
      </c>
      <c r="F30" s="210">
        <f>0</f>
        <v>0</v>
      </c>
      <c r="G30" s="210">
        <f>0</f>
        <v>0</v>
      </c>
      <c r="H30" s="315"/>
      <c r="I30" s="209">
        <f t="shared" si="9"/>
        <v>0</v>
      </c>
      <c r="J30" s="210">
        <f>0</f>
        <v>0</v>
      </c>
      <c r="K30" s="210">
        <f>0</f>
        <v>0</v>
      </c>
      <c r="L30" s="315"/>
      <c r="M30" s="212">
        <f>0</f>
        <v>0</v>
      </c>
      <c r="N30" s="212">
        <f>0</f>
        <v>0</v>
      </c>
      <c r="O30" s="212">
        <f>0</f>
        <v>0</v>
      </c>
      <c r="P30" s="212">
        <f>0</f>
        <v>0</v>
      </c>
      <c r="Q30" s="220"/>
    </row>
    <row r="31" spans="1:17" ht="37.5" customHeight="1" x14ac:dyDescent="0.2">
      <c r="A31" s="188"/>
      <c r="B31" s="219"/>
      <c r="C31" s="237" t="s">
        <v>198</v>
      </c>
      <c r="D31" s="196"/>
      <c r="E31" s="209">
        <f>SUM(F31:H31)</f>
        <v>0</v>
      </c>
      <c r="F31" s="210">
        <f>0</f>
        <v>0</v>
      </c>
      <c r="G31" s="210">
        <f>0</f>
        <v>0</v>
      </c>
      <c r="H31" s="315"/>
      <c r="I31" s="209">
        <f>SUM(J31:L31)</f>
        <v>0</v>
      </c>
      <c r="J31" s="210">
        <f>0</f>
        <v>0</v>
      </c>
      <c r="K31" s="210">
        <f>0</f>
        <v>0</v>
      </c>
      <c r="L31" s="315"/>
      <c r="M31" s="212">
        <f>0</f>
        <v>0</v>
      </c>
      <c r="N31" s="212">
        <f>0</f>
        <v>0</v>
      </c>
      <c r="O31" s="212">
        <f>0</f>
        <v>0</v>
      </c>
      <c r="P31" s="212">
        <f>0</f>
        <v>0</v>
      </c>
      <c r="Q31" s="220"/>
    </row>
    <row r="32" spans="1:17" ht="37.5" customHeight="1" x14ac:dyDescent="0.2">
      <c r="A32" s="188"/>
      <c r="B32" s="219"/>
      <c r="C32" s="237" t="s">
        <v>198</v>
      </c>
      <c r="D32" s="196"/>
      <c r="E32" s="209">
        <f>SUM(F32:H32)</f>
        <v>0</v>
      </c>
      <c r="F32" s="210">
        <f>0</f>
        <v>0</v>
      </c>
      <c r="G32" s="210">
        <f>0</f>
        <v>0</v>
      </c>
      <c r="H32" s="315"/>
      <c r="I32" s="209">
        <f>SUM(J32:L32)</f>
        <v>0</v>
      </c>
      <c r="J32" s="210">
        <f>0</f>
        <v>0</v>
      </c>
      <c r="K32" s="210">
        <f>0</f>
        <v>0</v>
      </c>
      <c r="L32" s="315"/>
      <c r="M32" s="212">
        <f>0</f>
        <v>0</v>
      </c>
      <c r="N32" s="212">
        <f>0</f>
        <v>0</v>
      </c>
      <c r="O32" s="212">
        <f>0</f>
        <v>0</v>
      </c>
      <c r="P32" s="212">
        <f>0</f>
        <v>0</v>
      </c>
      <c r="Q32" s="220"/>
    </row>
    <row r="33" spans="1:17" ht="20.100000000000001" customHeight="1" x14ac:dyDescent="0.2">
      <c r="A33" s="188"/>
      <c r="B33" s="217" t="s">
        <v>208</v>
      </c>
      <c r="C33" s="323"/>
      <c r="D33" s="197"/>
      <c r="E33" s="200"/>
      <c r="F33" s="194"/>
      <c r="G33" s="194"/>
      <c r="H33" s="201"/>
      <c r="I33" s="200"/>
      <c r="J33" s="194"/>
      <c r="K33" s="194"/>
      <c r="L33" s="201"/>
      <c r="M33" s="202"/>
      <c r="N33" s="202"/>
      <c r="O33" s="202"/>
      <c r="P33" s="202"/>
      <c r="Q33" s="218"/>
    </row>
    <row r="34" spans="1:17" ht="131.25" customHeight="1" x14ac:dyDescent="0.2">
      <c r="A34" s="188"/>
      <c r="B34" s="207"/>
      <c r="C34" s="237" t="s">
        <v>209</v>
      </c>
      <c r="D34" s="196"/>
      <c r="E34" s="209">
        <f t="shared" ref="E34" si="10">SUM(F34:H34)</f>
        <v>100000</v>
      </c>
      <c r="F34" s="210">
        <f>0</f>
        <v>0</v>
      </c>
      <c r="G34" s="210">
        <v>100000</v>
      </c>
      <c r="H34" s="315"/>
      <c r="I34" s="209">
        <f t="shared" ref="I34" si="11">SUM(J34:L34)</f>
        <v>500000</v>
      </c>
      <c r="J34" s="210">
        <f>0</f>
        <v>0</v>
      </c>
      <c r="K34" s="210">
        <v>500000</v>
      </c>
      <c r="L34" s="315"/>
      <c r="M34" s="212">
        <v>520000</v>
      </c>
      <c r="N34" s="212">
        <v>546000</v>
      </c>
      <c r="O34" s="212">
        <v>573300</v>
      </c>
      <c r="P34" s="212">
        <v>601965</v>
      </c>
      <c r="Q34" s="387" t="s">
        <v>210</v>
      </c>
    </row>
    <row r="35" spans="1:17" ht="204.75" customHeight="1" x14ac:dyDescent="0.2">
      <c r="A35" s="188"/>
      <c r="B35" s="207"/>
      <c r="C35" s="237" t="s">
        <v>211</v>
      </c>
      <c r="D35" s="196"/>
      <c r="E35" s="209">
        <f t="shared" ref="E35:E36" si="12">SUM(F35:H35)</f>
        <v>100000</v>
      </c>
      <c r="F35" s="210">
        <f>0</f>
        <v>0</v>
      </c>
      <c r="G35" s="210">
        <v>100000</v>
      </c>
      <c r="H35" s="315"/>
      <c r="I35" s="209">
        <f t="shared" ref="I35:I36" si="13">SUM(J35:L35)</f>
        <v>438090</v>
      </c>
      <c r="J35" s="210">
        <f>0</f>
        <v>0</v>
      </c>
      <c r="K35" s="210">
        <v>438090</v>
      </c>
      <c r="L35" s="315"/>
      <c r="M35" s="212">
        <v>438090</v>
      </c>
      <c r="N35" s="212">
        <v>438090</v>
      </c>
      <c r="O35" s="212">
        <v>438090</v>
      </c>
      <c r="P35" s="212">
        <v>438090</v>
      </c>
      <c r="Q35" s="387" t="s">
        <v>212</v>
      </c>
    </row>
    <row r="36" spans="1:17" ht="105" customHeight="1" x14ac:dyDescent="0.2">
      <c r="A36" s="188"/>
      <c r="B36" s="219"/>
      <c r="C36" s="237" t="s">
        <v>213</v>
      </c>
      <c r="D36" s="196"/>
      <c r="E36" s="209">
        <f t="shared" si="12"/>
        <v>310621</v>
      </c>
      <c r="F36" s="210">
        <f>0</f>
        <v>0</v>
      </c>
      <c r="G36" s="210">
        <v>310621</v>
      </c>
      <c r="H36" s="315"/>
      <c r="I36" s="209">
        <f t="shared" si="13"/>
        <v>310621</v>
      </c>
      <c r="J36" s="210">
        <f>0</f>
        <v>0</v>
      </c>
      <c r="K36" s="210">
        <v>310621</v>
      </c>
      <c r="L36" s="315"/>
      <c r="M36" s="212">
        <v>310621</v>
      </c>
      <c r="N36" s="212">
        <v>310621</v>
      </c>
      <c r="O36" s="212">
        <v>310621</v>
      </c>
      <c r="P36" s="212">
        <v>310621</v>
      </c>
      <c r="Q36" s="387" t="s">
        <v>214</v>
      </c>
    </row>
    <row r="37" spans="1:17" ht="95.25" customHeight="1" x14ac:dyDescent="0.2">
      <c r="A37" s="188"/>
      <c r="B37" s="207"/>
      <c r="C37" s="237" t="s">
        <v>215</v>
      </c>
      <c r="D37" s="196"/>
      <c r="E37" s="209">
        <f t="shared" ref="E37" si="14">SUM(F37:H37)</f>
        <v>100000</v>
      </c>
      <c r="F37" s="210">
        <f>0</f>
        <v>0</v>
      </c>
      <c r="G37" s="210">
        <v>100000</v>
      </c>
      <c r="H37" s="315"/>
      <c r="I37" s="209">
        <f t="shared" ref="I37" si="15">SUM(J37:L37)</f>
        <v>300000</v>
      </c>
      <c r="J37" s="210">
        <f>0</f>
        <v>0</v>
      </c>
      <c r="K37" s="210">
        <v>300000</v>
      </c>
      <c r="L37" s="315"/>
      <c r="M37" s="212">
        <v>300000</v>
      </c>
      <c r="N37" s="212">
        <v>300000</v>
      </c>
      <c r="O37" s="212">
        <v>300000</v>
      </c>
      <c r="P37" s="212">
        <v>300000</v>
      </c>
      <c r="Q37" s="387" t="s">
        <v>216</v>
      </c>
    </row>
    <row r="38" spans="1:17" ht="115.5" customHeight="1" x14ac:dyDescent="0.2">
      <c r="A38" s="188"/>
      <c r="B38" s="207"/>
      <c r="C38" s="237" t="s">
        <v>217</v>
      </c>
      <c r="D38" s="196"/>
      <c r="E38" s="209">
        <f t="shared" ref="E38" si="16">SUM(F38:H38)</f>
        <v>520000</v>
      </c>
      <c r="F38" s="210">
        <v>520000</v>
      </c>
      <c r="G38" s="210">
        <f>0</f>
        <v>0</v>
      </c>
      <c r="H38" s="315"/>
      <c r="I38" s="209">
        <f t="shared" ref="I38" si="17">SUM(J38:L38)</f>
        <v>546000</v>
      </c>
      <c r="J38" s="210">
        <v>546000</v>
      </c>
      <c r="K38" s="210">
        <f>0</f>
        <v>0</v>
      </c>
      <c r="L38" s="315"/>
      <c r="M38" s="212">
        <v>573300</v>
      </c>
      <c r="N38" s="212">
        <v>601965</v>
      </c>
      <c r="O38" s="212">
        <v>632063</v>
      </c>
      <c r="P38" s="212">
        <v>663666</v>
      </c>
      <c r="Q38" s="387" t="s">
        <v>218</v>
      </c>
    </row>
    <row r="39" spans="1:17" ht="20.100000000000001" customHeight="1" x14ac:dyDescent="0.2">
      <c r="A39" s="188"/>
      <c r="B39" s="217" t="s">
        <v>219</v>
      </c>
      <c r="C39" s="323"/>
      <c r="D39" s="197"/>
      <c r="E39" s="200"/>
      <c r="F39" s="194"/>
      <c r="G39" s="194"/>
      <c r="H39" s="201"/>
      <c r="I39" s="200"/>
      <c r="J39" s="194"/>
      <c r="K39" s="194"/>
      <c r="L39" s="201"/>
      <c r="M39" s="202"/>
      <c r="N39" s="202"/>
      <c r="O39" s="202"/>
      <c r="P39" s="202"/>
      <c r="Q39" s="218"/>
    </row>
    <row r="40" spans="1:17" ht="275.25" customHeight="1" x14ac:dyDescent="0.2">
      <c r="A40" s="188"/>
      <c r="B40" s="219"/>
      <c r="C40" s="237" t="s">
        <v>220</v>
      </c>
      <c r="D40" s="196"/>
      <c r="E40" s="209">
        <f t="shared" ref="E40:E43" si="18">SUM(F40:H40)</f>
        <v>400000</v>
      </c>
      <c r="F40" s="210">
        <f>0</f>
        <v>0</v>
      </c>
      <c r="G40" s="210">
        <v>400000</v>
      </c>
      <c r="H40" s="315"/>
      <c r="I40" s="209">
        <f t="shared" ref="I40:I43" si="19">SUM(J40:L40)</f>
        <v>400000</v>
      </c>
      <c r="J40" s="210">
        <f>0</f>
        <v>0</v>
      </c>
      <c r="K40" s="210">
        <v>400000</v>
      </c>
      <c r="L40" s="315"/>
      <c r="M40" s="212">
        <v>400000</v>
      </c>
      <c r="N40" s="212">
        <v>400000</v>
      </c>
      <c r="O40" s="212">
        <v>400000</v>
      </c>
      <c r="P40" s="212">
        <v>400000</v>
      </c>
      <c r="Q40" s="387" t="s">
        <v>221</v>
      </c>
    </row>
    <row r="41" spans="1:17" ht="158.25" customHeight="1" x14ac:dyDescent="0.2">
      <c r="A41" s="188"/>
      <c r="B41" s="219"/>
      <c r="C41" s="237" t="s">
        <v>222</v>
      </c>
      <c r="D41" s="196"/>
      <c r="E41" s="209">
        <f t="shared" si="18"/>
        <v>425000</v>
      </c>
      <c r="F41" s="210">
        <f>0</f>
        <v>0</v>
      </c>
      <c r="G41" s="210">
        <v>425000</v>
      </c>
      <c r="H41" s="315"/>
      <c r="I41" s="209">
        <f t="shared" si="19"/>
        <v>425000</v>
      </c>
      <c r="J41" s="210">
        <f>0</f>
        <v>0</v>
      </c>
      <c r="K41" s="210">
        <v>425000</v>
      </c>
      <c r="L41" s="315"/>
      <c r="M41" s="212">
        <v>425000</v>
      </c>
      <c r="N41" s="212">
        <v>425000</v>
      </c>
      <c r="O41" s="212">
        <v>425000</v>
      </c>
      <c r="P41" s="212">
        <v>425000</v>
      </c>
      <c r="Q41" s="387" t="s">
        <v>408</v>
      </c>
    </row>
    <row r="42" spans="1:17" ht="297" customHeight="1" x14ac:dyDescent="0.2">
      <c r="A42" s="188"/>
      <c r="B42" s="219"/>
      <c r="C42" s="237" t="s">
        <v>223</v>
      </c>
      <c r="D42" s="196"/>
      <c r="E42" s="209">
        <f t="shared" ref="E42" si="20">SUM(F42:H42)</f>
        <v>500000</v>
      </c>
      <c r="F42" s="210">
        <v>300000</v>
      </c>
      <c r="G42" s="210">
        <v>200000</v>
      </c>
      <c r="H42" s="315"/>
      <c r="I42" s="209">
        <f t="shared" ref="I42" si="21">SUM(J42:L42)</f>
        <v>500000</v>
      </c>
      <c r="J42" s="210">
        <v>300000</v>
      </c>
      <c r="K42" s="210">
        <v>200000</v>
      </c>
      <c r="L42" s="315"/>
      <c r="M42" s="212">
        <v>500000</v>
      </c>
      <c r="N42" s="212">
        <v>500000</v>
      </c>
      <c r="O42" s="212">
        <v>500000</v>
      </c>
      <c r="P42" s="212">
        <v>500000</v>
      </c>
      <c r="Q42" s="387" t="s">
        <v>409</v>
      </c>
    </row>
    <row r="43" spans="1:17" ht="37.5" customHeight="1" x14ac:dyDescent="0.2">
      <c r="A43" s="188"/>
      <c r="B43" s="219"/>
      <c r="C43" s="237" t="s">
        <v>198</v>
      </c>
      <c r="D43" s="196"/>
      <c r="E43" s="209">
        <f t="shared" si="18"/>
        <v>0</v>
      </c>
      <c r="F43" s="210">
        <f>0</f>
        <v>0</v>
      </c>
      <c r="G43" s="210">
        <f>0</f>
        <v>0</v>
      </c>
      <c r="H43" s="315"/>
      <c r="I43" s="209">
        <f t="shared" si="19"/>
        <v>0</v>
      </c>
      <c r="J43" s="210">
        <f>0</f>
        <v>0</v>
      </c>
      <c r="K43" s="210">
        <f>0</f>
        <v>0</v>
      </c>
      <c r="L43" s="315"/>
      <c r="M43" s="212">
        <f>0</f>
        <v>0</v>
      </c>
      <c r="N43" s="212">
        <f>0</f>
        <v>0</v>
      </c>
      <c r="O43" s="212">
        <f>0</f>
        <v>0</v>
      </c>
      <c r="P43" s="212">
        <f>0</f>
        <v>0</v>
      </c>
      <c r="Q43" s="220"/>
    </row>
    <row r="44" spans="1:17" ht="37.5" customHeight="1" x14ac:dyDescent="0.2">
      <c r="A44" s="188"/>
      <c r="B44" s="219"/>
      <c r="C44" s="237" t="s">
        <v>198</v>
      </c>
      <c r="D44" s="196"/>
      <c r="E44" s="209">
        <f t="shared" ref="E44" si="22">SUM(F44:H44)</f>
        <v>0</v>
      </c>
      <c r="F44" s="210">
        <f>0</f>
        <v>0</v>
      </c>
      <c r="G44" s="210">
        <f>0</f>
        <v>0</v>
      </c>
      <c r="H44" s="315"/>
      <c r="I44" s="209">
        <f t="shared" ref="I44" si="23">SUM(J44:L44)</f>
        <v>0</v>
      </c>
      <c r="J44" s="210">
        <f>0</f>
        <v>0</v>
      </c>
      <c r="K44" s="210">
        <f>0</f>
        <v>0</v>
      </c>
      <c r="L44" s="315"/>
      <c r="M44" s="212">
        <f>0</f>
        <v>0</v>
      </c>
      <c r="N44" s="212">
        <f>0</f>
        <v>0</v>
      </c>
      <c r="O44" s="212">
        <f>0</f>
        <v>0</v>
      </c>
      <c r="P44" s="212">
        <f>0</f>
        <v>0</v>
      </c>
      <c r="Q44" s="220"/>
    </row>
    <row r="45" spans="1:17" ht="20.100000000000001" customHeight="1" x14ac:dyDescent="0.2">
      <c r="A45" s="188"/>
      <c r="B45" s="217" t="s">
        <v>224</v>
      </c>
      <c r="C45" s="323"/>
      <c r="D45" s="197"/>
      <c r="E45" s="200"/>
      <c r="F45" s="194"/>
      <c r="G45" s="194"/>
      <c r="H45" s="201"/>
      <c r="I45" s="200"/>
      <c r="J45" s="194"/>
      <c r="K45" s="194"/>
      <c r="L45" s="201"/>
      <c r="M45" s="202"/>
      <c r="N45" s="202"/>
      <c r="O45" s="202"/>
      <c r="P45" s="202"/>
      <c r="Q45" s="218"/>
    </row>
    <row r="46" spans="1:17" ht="37.5" customHeight="1" x14ac:dyDescent="0.2">
      <c r="A46" s="188"/>
      <c r="B46" s="216"/>
      <c r="C46" s="237" t="s">
        <v>225</v>
      </c>
      <c r="D46" s="196"/>
      <c r="E46" s="209">
        <f t="shared" ref="E46:E48" si="24">SUM(F46:H46)</f>
        <v>0</v>
      </c>
      <c r="F46" s="210">
        <f>0</f>
        <v>0</v>
      </c>
      <c r="G46" s="210">
        <f>0</f>
        <v>0</v>
      </c>
      <c r="H46" s="315"/>
      <c r="I46" s="209">
        <f t="shared" ref="I46:I48" si="25">SUM(J46:L46)</f>
        <v>0</v>
      </c>
      <c r="J46" s="210">
        <f>0</f>
        <v>0</v>
      </c>
      <c r="K46" s="210">
        <f>0</f>
        <v>0</v>
      </c>
      <c r="L46" s="315"/>
      <c r="M46" s="212">
        <v>800000</v>
      </c>
      <c r="N46" s="212">
        <v>825000</v>
      </c>
      <c r="O46" s="212">
        <v>850000</v>
      </c>
      <c r="P46" s="212">
        <v>875000</v>
      </c>
      <c r="Q46" s="387" t="s">
        <v>226</v>
      </c>
    </row>
    <row r="47" spans="1:17" ht="37.5" customHeight="1" x14ac:dyDescent="0.2">
      <c r="A47" s="188"/>
      <c r="B47" s="216"/>
      <c r="C47" s="237" t="s">
        <v>227</v>
      </c>
      <c r="D47" s="196"/>
      <c r="E47" s="209">
        <f t="shared" si="24"/>
        <v>0</v>
      </c>
      <c r="F47" s="210">
        <f>0</f>
        <v>0</v>
      </c>
      <c r="G47" s="210">
        <f>0</f>
        <v>0</v>
      </c>
      <c r="H47" s="315"/>
      <c r="I47" s="209">
        <f t="shared" si="25"/>
        <v>0</v>
      </c>
      <c r="J47" s="210">
        <f>0</f>
        <v>0</v>
      </c>
      <c r="K47" s="210">
        <f>0</f>
        <v>0</v>
      </c>
      <c r="L47" s="315"/>
      <c r="M47" s="212">
        <f>0</f>
        <v>0</v>
      </c>
      <c r="N47" s="212">
        <v>800000</v>
      </c>
      <c r="O47" s="212">
        <v>825000</v>
      </c>
      <c r="P47" s="212">
        <v>850000</v>
      </c>
      <c r="Q47" s="387" t="s">
        <v>228</v>
      </c>
    </row>
    <row r="48" spans="1:17" ht="37.5" customHeight="1" x14ac:dyDescent="0.2">
      <c r="A48" s="188"/>
      <c r="B48" s="216"/>
      <c r="C48" s="237" t="s">
        <v>229</v>
      </c>
      <c r="D48" s="196"/>
      <c r="E48" s="209">
        <f t="shared" si="24"/>
        <v>0</v>
      </c>
      <c r="F48" s="210">
        <f>0</f>
        <v>0</v>
      </c>
      <c r="G48" s="210">
        <f>0</f>
        <v>0</v>
      </c>
      <c r="H48" s="315"/>
      <c r="I48" s="209">
        <f t="shared" si="25"/>
        <v>0</v>
      </c>
      <c r="J48" s="210">
        <f>0</f>
        <v>0</v>
      </c>
      <c r="K48" s="210">
        <f>0</f>
        <v>0</v>
      </c>
      <c r="L48" s="315"/>
      <c r="M48" s="212">
        <f>0</f>
        <v>0</v>
      </c>
      <c r="N48" s="212">
        <v>500000</v>
      </c>
      <c r="O48" s="212">
        <v>520000</v>
      </c>
      <c r="P48" s="212">
        <v>540000</v>
      </c>
      <c r="Q48" s="387" t="s">
        <v>230</v>
      </c>
    </row>
    <row r="49" spans="1:17" ht="37.5" customHeight="1" x14ac:dyDescent="0.2">
      <c r="A49" s="188"/>
      <c r="B49" s="219"/>
      <c r="C49" s="237" t="s">
        <v>198</v>
      </c>
      <c r="D49" s="196"/>
      <c r="E49" s="209">
        <f t="shared" ref="E49" si="26">SUM(F49:H49)</f>
        <v>0</v>
      </c>
      <c r="F49" s="210">
        <f>0</f>
        <v>0</v>
      </c>
      <c r="G49" s="210">
        <f>0</f>
        <v>0</v>
      </c>
      <c r="H49" s="315"/>
      <c r="I49" s="209">
        <f t="shared" ref="I49" si="27">SUM(J49:L49)</f>
        <v>0</v>
      </c>
      <c r="J49" s="210">
        <f>0</f>
        <v>0</v>
      </c>
      <c r="K49" s="210">
        <f>0</f>
        <v>0</v>
      </c>
      <c r="L49" s="315"/>
      <c r="M49" s="212">
        <f>0</f>
        <v>0</v>
      </c>
      <c r="N49" s="212">
        <f>0</f>
        <v>0</v>
      </c>
      <c r="O49" s="212">
        <f>0</f>
        <v>0</v>
      </c>
      <c r="P49" s="212">
        <f>0</f>
        <v>0</v>
      </c>
      <c r="Q49" s="220"/>
    </row>
    <row r="50" spans="1:17" ht="37.5" customHeight="1" thickBot="1" x14ac:dyDescent="0.25">
      <c r="A50" s="188"/>
      <c r="B50" s="219"/>
      <c r="C50" s="237" t="s">
        <v>198</v>
      </c>
      <c r="D50" s="196"/>
      <c r="E50" s="209">
        <f t="shared" ref="E50" si="28">SUM(F50:H50)</f>
        <v>0</v>
      </c>
      <c r="F50" s="210">
        <f>0</f>
        <v>0</v>
      </c>
      <c r="G50" s="210">
        <f>0</f>
        <v>0</v>
      </c>
      <c r="H50" s="315"/>
      <c r="I50" s="209">
        <f t="shared" ref="I50" si="29">SUM(J50:L50)</f>
        <v>0</v>
      </c>
      <c r="J50" s="210">
        <f>0</f>
        <v>0</v>
      </c>
      <c r="K50" s="210">
        <f>0</f>
        <v>0</v>
      </c>
      <c r="L50" s="315"/>
      <c r="M50" s="212">
        <f>0</f>
        <v>0</v>
      </c>
      <c r="N50" s="212">
        <f>0</f>
        <v>0</v>
      </c>
      <c r="O50" s="212">
        <f>0</f>
        <v>0</v>
      </c>
      <c r="P50" s="212">
        <f>0</f>
        <v>0</v>
      </c>
      <c r="Q50" s="220"/>
    </row>
    <row r="51" spans="1:17" ht="15.75" x14ac:dyDescent="0.2">
      <c r="B51" s="208" t="s">
        <v>231</v>
      </c>
      <c r="C51" s="324"/>
      <c r="D51" s="221"/>
      <c r="E51" s="222">
        <f>SUM(E12:E50)</f>
        <v>4381339</v>
      </c>
      <c r="F51" s="223">
        <f>SUM(F12:F50)</f>
        <v>820000</v>
      </c>
      <c r="G51" s="223">
        <f t="shared" ref="G51" si="30">SUM(G12:G50)</f>
        <v>2729684</v>
      </c>
      <c r="H51" s="224">
        <f>SUM(H12:H50)</f>
        <v>831655</v>
      </c>
      <c r="I51" s="222">
        <f t="shared" ref="I51:P51" si="31">SUM(I12:I50)</f>
        <v>7309105</v>
      </c>
      <c r="J51" s="223">
        <f t="shared" si="31"/>
        <v>846000</v>
      </c>
      <c r="K51" s="223">
        <f t="shared" si="31"/>
        <v>4781218</v>
      </c>
      <c r="L51" s="224">
        <f t="shared" si="31"/>
        <v>1681887</v>
      </c>
      <c r="M51" s="225">
        <f t="shared" si="31"/>
        <v>10158077</v>
      </c>
      <c r="N51" s="225">
        <f t="shared" si="31"/>
        <v>13578538</v>
      </c>
      <c r="O51" s="225">
        <f t="shared" si="31"/>
        <v>15786746</v>
      </c>
      <c r="P51" s="225">
        <f t="shared" si="31"/>
        <v>18038737</v>
      </c>
      <c r="Q51" s="226"/>
    </row>
    <row r="52" spans="1:17" ht="15" x14ac:dyDescent="0.2">
      <c r="B52" s="183"/>
      <c r="C52" s="325"/>
      <c r="D52" s="227"/>
      <c r="E52" s="227"/>
      <c r="F52" s="227"/>
      <c r="G52" s="227"/>
    </row>
    <row r="53" spans="1:17" ht="15.75" x14ac:dyDescent="0.2">
      <c r="B53" s="227"/>
      <c r="C53" s="325"/>
      <c r="D53" s="227"/>
      <c r="E53" s="227"/>
      <c r="F53" s="227"/>
      <c r="G53" s="227"/>
      <c r="H53" s="227"/>
      <c r="I53" s="228"/>
      <c r="J53" s="229"/>
      <c r="K53" s="229"/>
      <c r="L53" s="190"/>
      <c r="M53" s="229"/>
      <c r="N53" s="229"/>
      <c r="O53" s="229"/>
    </row>
    <row r="54" spans="1:17" ht="66" customHeight="1" x14ac:dyDescent="0.2">
      <c r="B54" s="227"/>
      <c r="I54" s="472" t="s">
        <v>232</v>
      </c>
      <c r="J54" s="473"/>
      <c r="K54" s="313"/>
    </row>
    <row r="55" spans="1:17" ht="15.75" x14ac:dyDescent="0.2">
      <c r="I55" s="181" t="s">
        <v>175</v>
      </c>
      <c r="J55" s="182" t="s">
        <v>176</v>
      </c>
      <c r="K55" s="190"/>
    </row>
    <row r="56" spans="1:17" ht="15" x14ac:dyDescent="0.2">
      <c r="I56" s="402">
        <f>G51-('2-Revenue'!E24-'2-Revenue'!C24)</f>
        <v>0</v>
      </c>
      <c r="J56" s="403">
        <f>K51-('2-Revenue'!G24-'2-Revenue'!C24)</f>
        <v>0</v>
      </c>
      <c r="K56" s="314"/>
    </row>
    <row r="57" spans="1:17" ht="69.75" customHeight="1" x14ac:dyDescent="0.2">
      <c r="G57" s="312"/>
      <c r="H57" s="311" t="s">
        <v>233</v>
      </c>
      <c r="I57" s="230"/>
      <c r="J57" s="231"/>
    </row>
  </sheetData>
  <sheetProtection insertRows="0" selectLockedCells="1" selectUnlockedCells="1"/>
  <mergeCells count="9">
    <mergeCell ref="I54:J54"/>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election activeCell="B8" sqref="A8:B8"/>
    </sheetView>
  </sheetViews>
  <sheetFormatPr defaultColWidth="8.7109375" defaultRowHeight="15.75" x14ac:dyDescent="0.25"/>
  <cols>
    <col min="1" max="1" width="34.5703125" style="366" customWidth="1"/>
    <col min="2" max="16384" width="8.7109375" style="366"/>
  </cols>
  <sheetData>
    <row r="1" spans="1:2" x14ac:dyDescent="0.25">
      <c r="A1" s="373" t="s">
        <v>234</v>
      </c>
    </row>
    <row r="2" spans="1:2" x14ac:dyDescent="0.25">
      <c r="A2" s="365"/>
      <c r="B2" s="371" t="s">
        <v>235</v>
      </c>
    </row>
    <row r="3" spans="1:2" x14ac:dyDescent="0.25">
      <c r="A3" s="367" t="s">
        <v>236</v>
      </c>
      <c r="B3" s="372" t="s">
        <v>237</v>
      </c>
    </row>
    <row r="4" spans="1:2" x14ac:dyDescent="0.25">
      <c r="A4" s="368" t="s">
        <v>238</v>
      </c>
      <c r="B4" s="369">
        <v>0.60499999999999998</v>
      </c>
    </row>
    <row r="5" spans="1:2" x14ac:dyDescent="0.25">
      <c r="A5" s="368" t="s">
        <v>239</v>
      </c>
      <c r="B5" s="369">
        <v>0.497</v>
      </c>
    </row>
    <row r="6" spans="1:2" x14ac:dyDescent="0.25">
      <c r="A6" s="368" t="s">
        <v>240</v>
      </c>
      <c r="B6" s="369">
        <v>0.51400000000000001</v>
      </c>
    </row>
    <row r="7" spans="1:2" x14ac:dyDescent="0.25">
      <c r="A7" s="368" t="s">
        <v>241</v>
      </c>
      <c r="B7" s="369">
        <v>0.60299999999999998</v>
      </c>
    </row>
    <row r="8" spans="1:2" x14ac:dyDescent="0.25">
      <c r="A8" s="385" t="s">
        <v>242</v>
      </c>
      <c r="B8" s="386">
        <v>0.48199999999999998</v>
      </c>
    </row>
    <row r="9" spans="1:2" x14ac:dyDescent="0.25">
      <c r="A9" s="368" t="s">
        <v>243</v>
      </c>
      <c r="B9" s="369">
        <v>0.56299999999999994</v>
      </c>
    </row>
    <row r="10" spans="1:2" x14ac:dyDescent="0.25">
      <c r="A10" s="368" t="s">
        <v>244</v>
      </c>
      <c r="B10" s="369">
        <v>0.59</v>
      </c>
    </row>
    <row r="11" spans="1:2" x14ac:dyDescent="0.25">
      <c r="A11" s="368" t="s">
        <v>245</v>
      </c>
      <c r="B11" s="369">
        <v>0.59399999999999997</v>
      </c>
    </row>
    <row r="12" spans="1:2" x14ac:dyDescent="0.25">
      <c r="A12" s="368" t="s">
        <v>246</v>
      </c>
      <c r="B12" s="369">
        <v>0.313</v>
      </c>
    </row>
    <row r="13" spans="1:2" x14ac:dyDescent="0.25">
      <c r="A13" s="368" t="s">
        <v>247</v>
      </c>
      <c r="B13" s="369">
        <v>0.56899999999999995</v>
      </c>
    </row>
    <row r="14" spans="1:2" x14ac:dyDescent="0.25">
      <c r="A14" s="368" t="s">
        <v>248</v>
      </c>
      <c r="B14" s="369">
        <v>0.504</v>
      </c>
    </row>
    <row r="15" spans="1:2" x14ac:dyDescent="0.25">
      <c r="A15" s="368" t="s">
        <v>249</v>
      </c>
      <c r="B15" s="369">
        <v>0.42099999999999999</v>
      </c>
    </row>
    <row r="16" spans="1:2" x14ac:dyDescent="0.25">
      <c r="A16" s="368" t="s">
        <v>250</v>
      </c>
      <c r="B16" s="369">
        <v>0.47099999999999997</v>
      </c>
    </row>
    <row r="17" spans="1:2" x14ac:dyDescent="0.25">
      <c r="A17" s="368" t="s">
        <v>251</v>
      </c>
      <c r="B17" s="369">
        <v>0.38200000000000001</v>
      </c>
    </row>
    <row r="18" spans="1:2" x14ac:dyDescent="0.25">
      <c r="A18" s="368" t="s">
        <v>252</v>
      </c>
      <c r="B18" s="369">
        <v>0.38200000000000001</v>
      </c>
    </row>
    <row r="19" spans="1:2" x14ac:dyDescent="0.25">
      <c r="A19" s="368" t="s">
        <v>253</v>
      </c>
      <c r="B19" s="369">
        <v>0.62</v>
      </c>
    </row>
    <row r="20" spans="1:2" x14ac:dyDescent="0.25">
      <c r="A20" s="368" t="s">
        <v>254</v>
      </c>
      <c r="B20" s="369">
        <v>0.628</v>
      </c>
    </row>
    <row r="21" spans="1:2" x14ac:dyDescent="0.25">
      <c r="A21" s="368" t="s">
        <v>255</v>
      </c>
      <c r="B21" s="369">
        <v>0.48199999999999998</v>
      </c>
    </row>
    <row r="22" spans="1:2" x14ac:dyDescent="0.25">
      <c r="A22" s="370" t="s">
        <v>256</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40"/>
  <sheetViews>
    <sheetView topLeftCell="A4" zoomScale="93" zoomScaleNormal="93" workbookViewId="0">
      <selection activeCell="D28" sqref="D28"/>
    </sheetView>
  </sheetViews>
  <sheetFormatPr defaultRowHeight="12.75" x14ac:dyDescent="0.2"/>
  <cols>
    <col min="1" max="1" width="9.140625" style="166"/>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7"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66"/>
  </cols>
  <sheetData>
    <row r="1" spans="1:20" ht="23.25" x14ac:dyDescent="0.2">
      <c r="A1" s="289" t="s">
        <v>257</v>
      </c>
      <c r="B1" s="290"/>
      <c r="C1" s="290"/>
      <c r="D1" s="290"/>
      <c r="E1" s="290"/>
      <c r="F1" s="290"/>
      <c r="G1" s="290"/>
      <c r="H1" s="291"/>
      <c r="I1" s="292"/>
      <c r="J1" s="292"/>
      <c r="K1" s="292"/>
      <c r="L1" s="292"/>
      <c r="M1" s="292"/>
      <c r="N1" s="292"/>
      <c r="O1" s="292"/>
      <c r="P1" s="292"/>
      <c r="Q1" s="292"/>
      <c r="R1" s="292"/>
      <c r="S1" s="292"/>
      <c r="T1" s="293"/>
    </row>
    <row r="2" spans="1:20" ht="23.25" x14ac:dyDescent="0.2">
      <c r="A2" s="490" t="str">
        <f>'Institution ID'!C3</f>
        <v>Institution Name:   Norfolk State University</v>
      </c>
      <c r="B2" s="476"/>
      <c r="C2" s="476"/>
      <c r="D2" s="476"/>
      <c r="E2" s="476"/>
      <c r="F2" s="476"/>
      <c r="G2" s="476"/>
      <c r="H2" s="238"/>
      <c r="I2" s="166"/>
      <c r="J2" s="166"/>
      <c r="K2" s="166"/>
      <c r="L2" s="166"/>
      <c r="M2" s="166"/>
      <c r="N2" s="166"/>
      <c r="O2" s="166"/>
      <c r="P2" s="166"/>
      <c r="Q2" s="166"/>
      <c r="R2" s="166"/>
      <c r="S2" s="166"/>
      <c r="T2" s="294"/>
    </row>
    <row r="3" spans="1:20" ht="12.75" customHeight="1" x14ac:dyDescent="0.2">
      <c r="A3" s="492" t="s">
        <v>258</v>
      </c>
      <c r="B3" s="493"/>
      <c r="C3" s="493"/>
      <c r="D3" s="493"/>
      <c r="E3" s="493"/>
      <c r="F3" s="493"/>
      <c r="G3" s="493"/>
      <c r="H3" s="493"/>
      <c r="I3" s="493"/>
      <c r="J3" s="493"/>
      <c r="K3" s="493"/>
      <c r="L3" s="493"/>
      <c r="M3" s="493"/>
      <c r="N3" s="493"/>
      <c r="O3" s="493"/>
      <c r="P3" s="493"/>
      <c r="Q3" s="493"/>
      <c r="R3" s="493"/>
      <c r="S3" s="493"/>
      <c r="T3" s="294"/>
    </row>
    <row r="4" spans="1:20" ht="102.75" customHeight="1" x14ac:dyDescent="0.2">
      <c r="A4" s="492"/>
      <c r="B4" s="493"/>
      <c r="C4" s="493"/>
      <c r="D4" s="493"/>
      <c r="E4" s="493"/>
      <c r="F4" s="493"/>
      <c r="G4" s="493"/>
      <c r="H4" s="493"/>
      <c r="I4" s="493"/>
      <c r="J4" s="493"/>
      <c r="K4" s="493"/>
      <c r="L4" s="493"/>
      <c r="M4" s="493"/>
      <c r="N4" s="493"/>
      <c r="O4" s="493"/>
      <c r="P4" s="493"/>
      <c r="Q4" s="493"/>
      <c r="R4" s="493"/>
      <c r="S4" s="493"/>
      <c r="T4" s="294"/>
    </row>
    <row r="5" spans="1:20" x14ac:dyDescent="0.2">
      <c r="A5" s="295"/>
      <c r="B5" s="166"/>
      <c r="C5" s="166"/>
      <c r="D5" s="166"/>
      <c r="E5" s="166"/>
      <c r="F5" s="166"/>
      <c r="G5" s="166"/>
      <c r="H5" s="166"/>
      <c r="I5" s="166"/>
      <c r="J5" s="166"/>
      <c r="K5" s="166"/>
      <c r="L5" s="166"/>
      <c r="M5" s="166"/>
      <c r="N5" s="166"/>
      <c r="O5" s="166"/>
      <c r="P5" s="166"/>
      <c r="Q5" s="166"/>
      <c r="R5" s="166"/>
      <c r="S5" s="166"/>
      <c r="T5" s="294"/>
    </row>
    <row r="6" spans="1:20" s="166" customFormat="1" ht="13.5" thickBot="1" x14ac:dyDescent="0.25">
      <c r="A6" s="295"/>
      <c r="R6" s="491" t="s">
        <v>259</v>
      </c>
      <c r="S6" s="491"/>
      <c r="T6" s="294"/>
    </row>
    <row r="7" spans="1:20" s="1" customFormat="1" ht="12.75" customHeight="1" x14ac:dyDescent="0.2">
      <c r="A7" s="173"/>
      <c r="B7" s="174" t="s">
        <v>260</v>
      </c>
      <c r="C7" s="248" t="s">
        <v>95</v>
      </c>
      <c r="D7" s="248" t="s">
        <v>96</v>
      </c>
      <c r="E7" s="249" t="s">
        <v>104</v>
      </c>
      <c r="F7" s="250" t="s">
        <v>175</v>
      </c>
      <c r="G7" s="249" t="s">
        <v>104</v>
      </c>
      <c r="H7" s="250" t="s">
        <v>176</v>
      </c>
      <c r="I7" s="249" t="s">
        <v>104</v>
      </c>
      <c r="J7" s="251" t="s">
        <v>177</v>
      </c>
      <c r="K7" s="249" t="s">
        <v>104</v>
      </c>
      <c r="L7" s="251" t="s">
        <v>178</v>
      </c>
      <c r="M7" s="249" t="s">
        <v>104</v>
      </c>
      <c r="N7" s="251" t="s">
        <v>179</v>
      </c>
      <c r="O7" s="249" t="s">
        <v>104</v>
      </c>
      <c r="P7" s="251" t="s">
        <v>180</v>
      </c>
      <c r="Q7" s="249" t="s">
        <v>104</v>
      </c>
      <c r="R7" s="340" t="s">
        <v>261</v>
      </c>
      <c r="S7" s="330" t="s">
        <v>262</v>
      </c>
      <c r="T7" s="296"/>
    </row>
    <row r="8" spans="1:20" x14ac:dyDescent="0.2">
      <c r="A8" s="295"/>
      <c r="B8" s="180" t="s">
        <v>263</v>
      </c>
      <c r="C8" s="285">
        <f>'2-Revenue'!B25</f>
        <v>80759172</v>
      </c>
      <c r="D8" s="285">
        <f>'2-Revenue'!C25</f>
        <v>78273131</v>
      </c>
      <c r="E8" s="286">
        <f>IF(C8=0,"%",D8/C8-1)</f>
        <v>-3.0783388913397935E-2</v>
      </c>
      <c r="F8" s="285">
        <f>D8+'4-Academic-Financial'!H51</f>
        <v>79104786</v>
      </c>
      <c r="G8" s="286">
        <f>IF(D8=0,"%",F8/D8-1)</f>
        <v>1.0625038111737206E-2</v>
      </c>
      <c r="H8" s="285">
        <f>D8+'4-Academic-Financial'!L51</f>
        <v>79955018</v>
      </c>
      <c r="I8" s="286">
        <f>IF(F8=0,"%",H8/F8-1)</f>
        <v>1.0748173947401796E-2</v>
      </c>
      <c r="J8" s="285">
        <f>IFERROR(D8+'4-Academic-Financial'!L6*SUM('4-Academic-Financial'!M12:M18,'4-Academic-Financial'!M22),0)</f>
        <v>80823423.435174137</v>
      </c>
      <c r="K8" s="286">
        <f>IF(H8=0,"%",J8/H8-1)</f>
        <v>1.0861174906797499E-2</v>
      </c>
      <c r="L8" s="285">
        <f>IFERROR(D8+'4-Academic-Financial'!L6*SUM('4-Academic-Financial'!N12:N18, '4-Academic-Financial'!N22),0)</f>
        <v>81710686.628167525</v>
      </c>
      <c r="M8" s="286">
        <f>IF(J8=0,"%",L8/J8-1)</f>
        <v>1.0977797713617399E-2</v>
      </c>
      <c r="N8" s="285">
        <f>IFERROR(D8+'4-Academic-Financial'!L6*SUM('4-Academic-Financial'!O12:O18, '4-Academic-Financial'!O22),0)</f>
        <v>82617236.558748603</v>
      </c>
      <c r="O8" s="286">
        <f>IF(L8=0,"%",N8/L8-1)</f>
        <v>1.1094631167480218E-2</v>
      </c>
      <c r="P8" s="285">
        <f>IFERROR(D8+'4-Academic-Financial'!L6*SUM('4-Academic-Financial'!P12:P18,'4-Academic-Financial'!P22),0)</f>
        <v>83543506.544683397</v>
      </c>
      <c r="Q8" s="286">
        <f>IF(N8=0,"%",P8/N8-1)</f>
        <v>1.1211582770335404E-2</v>
      </c>
      <c r="R8" s="341">
        <f>IF(C8=0,"%",P8/C8-1)</f>
        <v>3.4477007078321575E-2</v>
      </c>
      <c r="S8" s="331">
        <f>IFERROR(R8/7,"%")</f>
        <v>4.9252867254745104E-3</v>
      </c>
      <c r="T8" s="294"/>
    </row>
    <row r="9" spans="1:20" x14ac:dyDescent="0.2">
      <c r="A9" s="295"/>
      <c r="B9" s="170" t="s">
        <v>264</v>
      </c>
      <c r="C9" s="234">
        <f>'3-Financial Aid'!I18</f>
        <v>8.075007116191206E-2</v>
      </c>
      <c r="D9" s="234">
        <f>'3-Financial Aid'!I31</f>
        <v>0.13349424990827008</v>
      </c>
      <c r="E9" s="266" t="str">
        <f>IF(OR(C9=0,C9="%"),"%",_xlfn.CONCAT(ROUND(D9-C9,5)*100,"pt"))</f>
        <v>5.274pt</v>
      </c>
      <c r="F9" s="234">
        <f>'3-Financial Aid'!I44</f>
        <v>0.12735808197634937</v>
      </c>
      <c r="G9" s="266" t="str">
        <f>IF(OR(D9=0,D9="%"),"%",_xlfn.CONCAT(ROUND(F9-D9,5)*100,"pt"))</f>
        <v>-0.614pt</v>
      </c>
      <c r="H9" s="234">
        <f>'3-Financial Aid'!I57</f>
        <v>0.12310525594635985</v>
      </c>
      <c r="I9" s="266" t="str">
        <f>IF(OR(F9=0,F9="%"),"%",_xlfn.CONCAT(ROUND(H9-F9,5)*100,"pt"))</f>
        <v>-0.425pt</v>
      </c>
      <c r="J9" s="234">
        <f>'3-Financial Aid'!I70</f>
        <v>0.1204488460096941</v>
      </c>
      <c r="K9" s="266" t="str">
        <f>IF(OR(H9=0,H9="%"),"%",_xlfn.CONCAT(ROUND(J9-H9,5)*100,"pt"))</f>
        <v>-0.266pt</v>
      </c>
      <c r="L9" s="234">
        <f>'3-Financial Aid'!I83</f>
        <v>0.11871457598990709</v>
      </c>
      <c r="M9" s="266" t="str">
        <f>IF(OR(J9=0,J9="%"),"%",_xlfn.CONCAT(ROUND(L9-J9,5)*100,"pt"))</f>
        <v>-0.173pt</v>
      </c>
      <c r="N9" s="234">
        <f>'3-Financial Aid'!I96</f>
        <v>0.11699299212352143</v>
      </c>
      <c r="O9" s="266" t="str">
        <f>IF(OR(L9=0,L9="%"),"%",_xlfn.CONCAT(ROUND(N9-L9,5)*100,"pt"))</f>
        <v>-0.172pt</v>
      </c>
      <c r="P9" s="234">
        <f>'3-Financial Aid'!I109</f>
        <v>0.11285000555508123</v>
      </c>
      <c r="Q9" s="266" t="str">
        <f>IF(OR(N9=0,N9="%"),"%",_xlfn.CONCAT(ROUND(P9-N9,5)*100,"pt"))</f>
        <v>-0.414pt</v>
      </c>
      <c r="R9" s="342" t="str">
        <f>IF(OR(C9=0,C9="%"),"%",_xlfn.CONCAT(ROUND(P9-C9,5)*100,"pt"))</f>
        <v>3.21pt</v>
      </c>
      <c r="S9" s="333" t="str">
        <f>IFERROR(R9/7,"%")</f>
        <v>%</v>
      </c>
      <c r="T9" s="294"/>
    </row>
    <row r="10" spans="1:20" x14ac:dyDescent="0.2">
      <c r="A10" s="295"/>
      <c r="B10" s="171" t="s">
        <v>265</v>
      </c>
      <c r="C10" s="279">
        <f>'2-Revenue'!B24</f>
        <v>51572180.729999982</v>
      </c>
      <c r="D10" s="279">
        <f>'2-Revenue'!C24</f>
        <v>50136374</v>
      </c>
      <c r="E10" s="280">
        <f t="shared" ref="E10:E18" si="0">IF(C10=0,"%",D10/C10-1)</f>
        <v>-2.7840721677389935E-2</v>
      </c>
      <c r="F10" s="279">
        <f>'2-Revenue'!E24</f>
        <v>52866058</v>
      </c>
      <c r="G10" s="280">
        <f t="shared" ref="G10:Q18" si="1">IF(D10=0,"%",F10/D10-1)</f>
        <v>5.4445181855393043E-2</v>
      </c>
      <c r="H10" s="279">
        <f>'2-Revenue'!G24</f>
        <v>54917592</v>
      </c>
      <c r="I10" s="280">
        <f t="shared" ref="I10:Q18" si="2">IF(F10=0,"%",H10/F10-1)</f>
        <v>3.8806260152780769E-2</v>
      </c>
      <c r="J10" s="279">
        <f>'2-Revenue'!I24</f>
        <v>56272532</v>
      </c>
      <c r="K10" s="280">
        <f t="shared" si="2"/>
        <v>2.4672239817070007E-2</v>
      </c>
      <c r="L10" s="279">
        <f>'2-Revenue'!K24</f>
        <v>57189838</v>
      </c>
      <c r="M10" s="280">
        <f t="shared" si="2"/>
        <v>1.6301132495690762E-2</v>
      </c>
      <c r="N10" s="279">
        <f>'2-Revenue'!M24</f>
        <v>58127332</v>
      </c>
      <c r="O10" s="280">
        <f t="shared" si="2"/>
        <v>1.6392667522506343E-2</v>
      </c>
      <c r="P10" s="279">
        <f>'2-Revenue'!O24</f>
        <v>60500652</v>
      </c>
      <c r="Q10" s="280">
        <f t="shared" si="2"/>
        <v>4.0829673723886017E-2</v>
      </c>
      <c r="R10" s="343">
        <f>IF(C10=0,"%",P10/C10-1)</f>
        <v>0.17312572677009652</v>
      </c>
      <c r="S10" s="332">
        <f>IFERROR(R10/7,"%")</f>
        <v>2.473224668144236E-2</v>
      </c>
      <c r="T10" s="294"/>
    </row>
    <row r="11" spans="1:20" x14ac:dyDescent="0.2">
      <c r="A11" s="295"/>
      <c r="B11" s="170" t="s">
        <v>266</v>
      </c>
      <c r="C11" s="274"/>
      <c r="D11" s="239">
        <f>D10-C10</f>
        <v>-1435806.7299999818</v>
      </c>
      <c r="E11" s="265"/>
      <c r="F11" s="239">
        <f>F10-D10</f>
        <v>2729684</v>
      </c>
      <c r="G11" s="265">
        <f t="shared" si="1"/>
        <v>-2.9011500245579951</v>
      </c>
      <c r="H11" s="239">
        <f>H10-F10</f>
        <v>2051534</v>
      </c>
      <c r="I11" s="265">
        <f t="shared" si="2"/>
        <v>-0.24843535002586381</v>
      </c>
      <c r="J11" s="239">
        <f>J10-H10</f>
        <v>1354940</v>
      </c>
      <c r="K11" s="265">
        <f t="shared" si="2"/>
        <v>-0.33954787003286324</v>
      </c>
      <c r="L11" s="239">
        <f>L10-J10</f>
        <v>917306</v>
      </c>
      <c r="M11" s="265">
        <f t="shared" si="2"/>
        <v>-0.32299142397449332</v>
      </c>
      <c r="N11" s="239">
        <f>N10-L10</f>
        <v>937494</v>
      </c>
      <c r="O11" s="265">
        <f t="shared" si="2"/>
        <v>2.2007923201200041E-2</v>
      </c>
      <c r="P11" s="239">
        <f>P10-N10</f>
        <v>2373320</v>
      </c>
      <c r="Q11" s="265">
        <f t="shared" si="2"/>
        <v>1.5315575353015594</v>
      </c>
      <c r="R11" s="344">
        <f>IF(D11=0,"%",P11/D11-1)</f>
        <v>-2.6529522744332241</v>
      </c>
      <c r="S11" s="269"/>
      <c r="T11" s="294"/>
    </row>
    <row r="12" spans="1:20" x14ac:dyDescent="0.2">
      <c r="A12" s="295"/>
      <c r="B12" s="170" t="s">
        <v>267</v>
      </c>
      <c r="C12" s="274">
        <f>C10+C8</f>
        <v>132331352.72999999</v>
      </c>
      <c r="D12" s="274">
        <f>D10+D8</f>
        <v>128409505</v>
      </c>
      <c r="E12" s="267">
        <f t="shared" ref="E12" si="3">IF(C12=0,"%",D12/C12-1)</f>
        <v>-2.9636572506002157E-2</v>
      </c>
      <c r="F12" s="274">
        <f>F10+F8</f>
        <v>131970844</v>
      </c>
      <c r="G12" s="267">
        <f t="shared" si="1"/>
        <v>2.7734231979166912E-2</v>
      </c>
      <c r="H12" s="274">
        <f>H10+H8</f>
        <v>134872610</v>
      </c>
      <c r="I12" s="267">
        <f t="shared" si="1"/>
        <v>2.198793242543795E-2</v>
      </c>
      <c r="J12" s="274">
        <f>J10+J8</f>
        <v>137095955.43517414</v>
      </c>
      <c r="K12" s="267">
        <f t="shared" si="1"/>
        <v>1.6484780973498925E-2</v>
      </c>
      <c r="L12" s="274">
        <f>L10+L8</f>
        <v>138900524.62816751</v>
      </c>
      <c r="M12" s="267">
        <f t="shared" si="1"/>
        <v>1.3162818605882753E-2</v>
      </c>
      <c r="N12" s="274">
        <f>N10+N8</f>
        <v>140744568.5587486</v>
      </c>
      <c r="O12" s="267">
        <f t="shared" si="1"/>
        <v>1.3276004072105163E-2</v>
      </c>
      <c r="P12" s="274">
        <f>P10+P8</f>
        <v>144044158.5446834</v>
      </c>
      <c r="Q12" s="267">
        <f t="shared" si="1"/>
        <v>2.34438175463767E-2</v>
      </c>
      <c r="R12" s="344">
        <f>IF(D12=0,"%",P12/D12-1)</f>
        <v>0.12175620133948328</v>
      </c>
      <c r="S12" s="269">
        <f>IFERROR(R12/7,"%")</f>
        <v>1.7393743048497612E-2</v>
      </c>
      <c r="T12" s="294"/>
    </row>
    <row r="13" spans="1:20" x14ac:dyDescent="0.2">
      <c r="A13" s="295"/>
      <c r="B13" s="172" t="s">
        <v>268</v>
      </c>
      <c r="C13" s="287">
        <f>IF(C8+C10=0,"%",C8/(C8+C10))</f>
        <v>0.61027995508196453</v>
      </c>
      <c r="D13" s="287">
        <f>IF(D8+D10=0,"%",D8/(D8+D10))</f>
        <v>0.6095587005027393</v>
      </c>
      <c r="E13" s="288" t="str">
        <f>IF(OR(C13=0,C13="%"),"%",_xlfn.CONCAT(ROUND(D13-C13,3)*100,"pt"))</f>
        <v>-0.1pt</v>
      </c>
      <c r="F13" s="287">
        <f>IF(F8+F10=0,"%",F8/(F8+F10))</f>
        <v>0.59941107901075485</v>
      </c>
      <c r="G13" s="288" t="str">
        <f>IF(OR(D13=0,D13="%"),"%",_xlfn.CONCAT(ROUND(F13-D13,3)*100,"pt"))</f>
        <v>-1pt</v>
      </c>
      <c r="H13" s="287">
        <f>IF(H8+H10=0,"%",H8/(H8+H10))</f>
        <v>0.59281879397158543</v>
      </c>
      <c r="I13" s="288" t="str">
        <f>IF(OR(F13=0,F13="%"),"%",_xlfn.CONCAT(ROUND(H13-F13,3)*100,"pt"))</f>
        <v>-0.7pt</v>
      </c>
      <c r="J13" s="287">
        <f>IF(J8+J10=0,"%",J8/(J8+J10))</f>
        <v>0.58953907997228638</v>
      </c>
      <c r="K13" s="288" t="str">
        <f>IF(OR(H13=0,H13="%"),"%",_xlfn.CONCAT(ROUND(J13-H13,3)*100,"pt"))</f>
        <v>-0.3pt</v>
      </c>
      <c r="L13" s="287">
        <f>IF(L8+L10=0,"%",L8/(L8+L10))</f>
        <v>0.58826766023313848</v>
      </c>
      <c r="M13" s="288" t="str">
        <f>IF(OR(J13=0,J13="%"),"%",_xlfn.CONCAT(ROUND(L13-J13,3)*100,"pt"))</f>
        <v>-0.1pt</v>
      </c>
      <c r="N13" s="287">
        <f>IF(N8+N10=0,"%",N8/(N8+N10))</f>
        <v>0.58700124207111481</v>
      </c>
      <c r="O13" s="288" t="str">
        <f>IF(OR(L13=0,L13="%"),"%",_xlfn.CONCAT(ROUND(N13-L13,3)*100,"pt"))</f>
        <v>-0.1pt</v>
      </c>
      <c r="P13" s="287">
        <f>IF(P8+P10=0,"%",P8/(P8+P10))</f>
        <v>0.57998538357088381</v>
      </c>
      <c r="Q13" s="288" t="str">
        <f>IF(OR(N13=0,N13="%"),"%",_xlfn.CONCAT(ROUND(P13-N13,3)*100,"pt"))</f>
        <v>-0.7pt</v>
      </c>
      <c r="R13" s="345" t="str">
        <f>IF(OR(C13=0,C13="%"),"%",_xlfn.CONCAT(ROUND(P13-C13,3)*100,"pt"))</f>
        <v>-3pt</v>
      </c>
      <c r="S13" s="333" t="str">
        <f>IFERROR(R13/7,"%")</f>
        <v>%</v>
      </c>
      <c r="T13" s="294"/>
    </row>
    <row r="14" spans="1:20" x14ac:dyDescent="0.2">
      <c r="A14" s="295"/>
      <c r="B14" s="171" t="s">
        <v>269</v>
      </c>
      <c r="C14" s="279">
        <f>'4-Academic-Financial'!D5</f>
        <v>115645541.51999994</v>
      </c>
      <c r="D14" s="279">
        <f>'4-Academic-Financial'!D6</f>
        <v>125072736</v>
      </c>
      <c r="E14" s="280">
        <f t="shared" si="0"/>
        <v>8.1518010604582747E-2</v>
      </c>
      <c r="F14" s="279">
        <f>$D$14+F15-F16</f>
        <v>128634075</v>
      </c>
      <c r="G14" s="280">
        <f t="shared" si="1"/>
        <v>2.847414323773978E-2</v>
      </c>
      <c r="H14" s="279">
        <f>$D$14+H15-H16</f>
        <v>131535841</v>
      </c>
      <c r="I14" s="280">
        <f t="shared" si="2"/>
        <v>2.255829957964095E-2</v>
      </c>
      <c r="J14" s="279">
        <f>$D$14+J15-J16</f>
        <v>134384813</v>
      </c>
      <c r="K14" s="280">
        <f t="shared" si="2"/>
        <v>2.1659282963036652E-2</v>
      </c>
      <c r="L14" s="279">
        <f>$D$14+L15-L16</f>
        <v>137805274</v>
      </c>
      <c r="M14" s="280">
        <f t="shared" si="2"/>
        <v>2.545273475210319E-2</v>
      </c>
      <c r="N14" s="279">
        <f>$D$14+N15-N16</f>
        <v>140013482</v>
      </c>
      <c r="O14" s="280">
        <f t="shared" si="2"/>
        <v>1.6024118206100058E-2</v>
      </c>
      <c r="P14" s="279">
        <f>$D$14+P15-P16</f>
        <v>142265473</v>
      </c>
      <c r="Q14" s="280">
        <f t="shared" si="2"/>
        <v>1.6084101101063952E-2</v>
      </c>
      <c r="R14" s="343">
        <f>IF(C14=0,"%",P14/C14-1)</f>
        <v>0.23018554048965534</v>
      </c>
      <c r="S14" s="332">
        <f>IFERROR(R14/7,"%")</f>
        <v>3.2883648641379333E-2</v>
      </c>
      <c r="T14" s="294"/>
    </row>
    <row r="15" spans="1:20" x14ac:dyDescent="0.2">
      <c r="A15" s="295"/>
      <c r="B15" s="170" t="s">
        <v>270</v>
      </c>
      <c r="C15" s="274"/>
      <c r="D15" s="239"/>
      <c r="E15" s="265"/>
      <c r="F15" s="239">
        <f>'4-Academic-Financial'!E51</f>
        <v>4381339</v>
      </c>
      <c r="G15" s="265"/>
      <c r="H15" s="239">
        <f>'4-Academic-Financial'!I51</f>
        <v>7309105</v>
      </c>
      <c r="I15" s="265">
        <f t="shared" si="2"/>
        <v>0.66823544126578649</v>
      </c>
      <c r="J15" s="239">
        <f>'4-Academic-Financial'!M51</f>
        <v>10158077</v>
      </c>
      <c r="K15" s="265">
        <f t="shared" si="2"/>
        <v>0.38978397491895378</v>
      </c>
      <c r="L15" s="239">
        <f>'4-Academic-Financial'!N51</f>
        <v>13578538</v>
      </c>
      <c r="M15" s="265">
        <f t="shared" si="2"/>
        <v>0.33672327941597602</v>
      </c>
      <c r="N15" s="239">
        <f>'4-Academic-Financial'!O51</f>
        <v>15786746</v>
      </c>
      <c r="O15" s="265">
        <f t="shared" si="2"/>
        <v>0.16262487169089934</v>
      </c>
      <c r="P15" s="239">
        <f>'4-Academic-Financial'!P51</f>
        <v>18038737</v>
      </c>
      <c r="Q15" s="265">
        <f t="shared" si="2"/>
        <v>0.1426507400575141</v>
      </c>
      <c r="R15" s="344">
        <f>IF(F15=0,"%",P15/F15-1)</f>
        <v>3.1171744528327983</v>
      </c>
      <c r="S15" s="269"/>
      <c r="T15" s="294"/>
    </row>
    <row r="16" spans="1:20" x14ac:dyDescent="0.2">
      <c r="A16" s="295"/>
      <c r="B16" s="172" t="s">
        <v>271</v>
      </c>
      <c r="C16" s="281"/>
      <c r="D16" s="282"/>
      <c r="E16" s="283"/>
      <c r="F16" s="284">
        <f>'4-Academic-Financial'!F51</f>
        <v>820000</v>
      </c>
      <c r="G16" s="283"/>
      <c r="H16" s="284">
        <f>'4-Academic-Financial'!J51</f>
        <v>846000</v>
      </c>
      <c r="I16" s="283">
        <f t="shared" si="2"/>
        <v>3.170731707317076E-2</v>
      </c>
      <c r="J16" s="284">
        <f>H16</f>
        <v>846000</v>
      </c>
      <c r="K16" s="283"/>
      <c r="L16" s="284">
        <f>J16</f>
        <v>846000</v>
      </c>
      <c r="M16" s="283"/>
      <c r="N16" s="284">
        <f>L16</f>
        <v>846000</v>
      </c>
      <c r="O16" s="283"/>
      <c r="P16" s="284">
        <f>N16</f>
        <v>846000</v>
      </c>
      <c r="Q16" s="283"/>
      <c r="R16" s="346"/>
      <c r="S16" s="333"/>
      <c r="T16" s="294"/>
    </row>
    <row r="17" spans="1:20" x14ac:dyDescent="0.2">
      <c r="A17" s="295"/>
      <c r="B17" s="252" t="s">
        <v>272</v>
      </c>
      <c r="C17" s="232">
        <f>C12-C14</f>
        <v>16685811.210000053</v>
      </c>
      <c r="D17" s="232">
        <f>D12-D14</f>
        <v>3336769</v>
      </c>
      <c r="E17" s="240">
        <f t="shared" si="0"/>
        <v>-0.80002356744871805</v>
      </c>
      <c r="F17" s="232">
        <f>F12-F14</f>
        <v>3336769</v>
      </c>
      <c r="G17" s="240">
        <f t="shared" si="1"/>
        <v>0</v>
      </c>
      <c r="H17" s="232">
        <f>H12-H14</f>
        <v>3336769</v>
      </c>
      <c r="I17" s="241">
        <f t="shared" si="2"/>
        <v>0</v>
      </c>
      <c r="J17" s="232">
        <f>J12-J14</f>
        <v>2711142.4351741374</v>
      </c>
      <c r="K17" s="241">
        <f t="shared" si="2"/>
        <v>-0.18749471864125522</v>
      </c>
      <c r="L17" s="232">
        <f>L12-L14</f>
        <v>1095250.62816751</v>
      </c>
      <c r="M17" s="241">
        <f t="shared" si="2"/>
        <v>-0.59601878014307952</v>
      </c>
      <c r="N17" s="232">
        <f>N12-N14</f>
        <v>731086.55874860287</v>
      </c>
      <c r="O17" s="241">
        <f t="shared" si="2"/>
        <v>-0.33249382383664894</v>
      </c>
      <c r="P17" s="232">
        <f>P12-P14</f>
        <v>1778685.5446833968</v>
      </c>
      <c r="Q17" s="241">
        <f t="shared" si="2"/>
        <v>1.4329342721441409</v>
      </c>
      <c r="R17" s="347">
        <f>IF(F17=0,"%",P17/F17-1)</f>
        <v>-0.46694375766395668</v>
      </c>
      <c r="S17" s="334">
        <f>IFERROR(R17/7,"%")</f>
        <v>-6.6706251094850955E-2</v>
      </c>
      <c r="T17" s="294"/>
    </row>
    <row r="18" spans="1:20" ht="13.5" thickBot="1" x14ac:dyDescent="0.25">
      <c r="A18" s="295"/>
      <c r="B18" s="253" t="s">
        <v>273</v>
      </c>
      <c r="C18" s="254">
        <f>C17</f>
        <v>16685811.210000053</v>
      </c>
      <c r="D18" s="255">
        <f>D17-C17</f>
        <v>-13349042.210000053</v>
      </c>
      <c r="E18" s="256">
        <f t="shared" si="0"/>
        <v>-1.8000235674487182</v>
      </c>
      <c r="F18" s="257">
        <f>F17-D17</f>
        <v>0</v>
      </c>
      <c r="G18" s="256">
        <f t="shared" si="1"/>
        <v>-1</v>
      </c>
      <c r="H18" s="257">
        <f>H17-F17</f>
        <v>0</v>
      </c>
      <c r="I18" s="258" t="str">
        <f t="shared" si="2"/>
        <v>%</v>
      </c>
      <c r="J18" s="257">
        <f>J17-H17</f>
        <v>-625626.56482586265</v>
      </c>
      <c r="K18" s="258" t="str">
        <f t="shared" si="2"/>
        <v>%</v>
      </c>
      <c r="L18" s="257">
        <f>L17-J17</f>
        <v>-1615891.8070066273</v>
      </c>
      <c r="M18" s="258">
        <f t="shared" si="2"/>
        <v>1.5828375869179978</v>
      </c>
      <c r="N18" s="257">
        <f>N17-L17</f>
        <v>-364164.06941890717</v>
      </c>
      <c r="O18" s="258">
        <f t="shared" si="2"/>
        <v>-0.77463585876240937</v>
      </c>
      <c r="P18" s="257">
        <f>P17-N17</f>
        <v>1047598.9859347939</v>
      </c>
      <c r="Q18" s="258">
        <f t="shared" si="2"/>
        <v>-3.8767225377463426</v>
      </c>
      <c r="R18" s="348" t="str">
        <f>IF(F18=0,"%",P18/F18-1)</f>
        <v>%</v>
      </c>
      <c r="S18" s="335" t="str">
        <f>IFERROR(R18/7,"%")</f>
        <v>%</v>
      </c>
      <c r="T18" s="294"/>
    </row>
    <row r="19" spans="1:20" x14ac:dyDescent="0.2">
      <c r="A19" s="295"/>
      <c r="B19" s="166"/>
      <c r="C19" s="166"/>
      <c r="D19" s="166"/>
      <c r="E19" s="166"/>
      <c r="F19" s="166"/>
      <c r="G19" s="166"/>
      <c r="H19" s="166"/>
      <c r="I19" s="166"/>
      <c r="J19" s="166"/>
      <c r="K19" s="166"/>
      <c r="L19" s="166"/>
      <c r="M19" s="166"/>
      <c r="N19" s="166"/>
      <c r="O19" s="166"/>
      <c r="P19" s="166"/>
      <c r="Q19" s="166"/>
      <c r="R19" s="166"/>
      <c r="S19" s="166"/>
      <c r="T19" s="294"/>
    </row>
    <row r="20" spans="1:20" ht="13.5" thickBot="1" x14ac:dyDescent="0.25">
      <c r="A20" s="295"/>
      <c r="B20" s="166"/>
      <c r="C20" s="166"/>
      <c r="D20" s="166"/>
      <c r="E20" s="166"/>
      <c r="F20" s="166"/>
      <c r="G20" s="166"/>
      <c r="H20" s="166"/>
      <c r="I20" s="166"/>
      <c r="J20" s="242"/>
      <c r="K20" s="166"/>
      <c r="L20" s="166"/>
      <c r="M20" s="166"/>
      <c r="N20" s="166"/>
      <c r="O20" s="166"/>
      <c r="P20" s="166"/>
      <c r="Q20" s="166"/>
      <c r="R20" s="166"/>
      <c r="S20" s="166"/>
      <c r="T20" s="294"/>
    </row>
    <row r="21" spans="1:20" s="166" customFormat="1" ht="13.5" thickBot="1" x14ac:dyDescent="0.25">
      <c r="A21" s="295"/>
      <c r="B21" s="299" t="s">
        <v>274</v>
      </c>
      <c r="C21" s="300"/>
      <c r="D21" s="300"/>
      <c r="E21" s="300"/>
      <c r="F21" s="300"/>
      <c r="G21" s="300"/>
      <c r="H21" s="300"/>
      <c r="I21" s="300"/>
      <c r="J21" s="300"/>
      <c r="K21" s="300"/>
      <c r="L21" s="300"/>
      <c r="M21" s="300"/>
      <c r="N21" s="300"/>
      <c r="O21" s="300"/>
      <c r="P21" s="300"/>
      <c r="Q21" s="300"/>
      <c r="R21" s="349"/>
      <c r="S21" s="336"/>
      <c r="T21" s="294"/>
    </row>
    <row r="22" spans="1:20" s="166" customFormat="1" x14ac:dyDescent="0.2">
      <c r="A22" s="295"/>
      <c r="B22" s="169"/>
      <c r="C22" s="243" t="s">
        <v>95</v>
      </c>
      <c r="D22" s="243" t="s">
        <v>96</v>
      </c>
      <c r="E22" s="244" t="s">
        <v>104</v>
      </c>
      <c r="F22" s="245" t="s">
        <v>175</v>
      </c>
      <c r="G22" s="244" t="s">
        <v>104</v>
      </c>
      <c r="H22" s="245" t="s">
        <v>176</v>
      </c>
      <c r="I22" s="244" t="s">
        <v>104</v>
      </c>
      <c r="J22" s="246" t="s">
        <v>177</v>
      </c>
      <c r="K22" s="244" t="s">
        <v>104</v>
      </c>
      <c r="L22" s="246" t="s">
        <v>178</v>
      </c>
      <c r="M22" s="244" t="s">
        <v>104</v>
      </c>
      <c r="N22" s="246" t="s">
        <v>179</v>
      </c>
      <c r="O22" s="244" t="s">
        <v>104</v>
      </c>
      <c r="P22" s="246" t="s">
        <v>180</v>
      </c>
      <c r="Q22" s="244" t="s">
        <v>104</v>
      </c>
      <c r="R22" s="350" t="s">
        <v>261</v>
      </c>
      <c r="S22" s="337" t="s">
        <v>262</v>
      </c>
      <c r="T22" s="294"/>
    </row>
    <row r="23" spans="1:20" s="166" customFormat="1" x14ac:dyDescent="0.2">
      <c r="A23" s="295"/>
      <c r="B23" s="271" t="s">
        <v>275</v>
      </c>
      <c r="C23" s="272">
        <f>C13</f>
        <v>0.61027995508196453</v>
      </c>
      <c r="D23" s="272">
        <f>C23</f>
        <v>0.61027995508196453</v>
      </c>
      <c r="E23" s="268" t="str">
        <f>IF(OR(C23=0,C23="%"),"%",_xlfn.CONCAT(ROUND(D23-C23,3)*100,"pt"))</f>
        <v>0pt</v>
      </c>
      <c r="F23" s="272">
        <f>D23</f>
        <v>0.61027995508196453</v>
      </c>
      <c r="G23" s="268" t="str">
        <f>IF(OR(D23=0,D23="%"),"%",_xlfn.CONCAT(ROUND(F23-D23,3)*100,"pt"))</f>
        <v>0pt</v>
      </c>
      <c r="H23" s="272">
        <f>F23</f>
        <v>0.61027995508196453</v>
      </c>
      <c r="I23" s="268" t="str">
        <f>IF(OR(F23=0,F23="%"),"%",_xlfn.CONCAT(ROUND(H23-F23,3)*100,"pt"))</f>
        <v>0pt</v>
      </c>
      <c r="J23" s="273">
        <f>H23</f>
        <v>0.61027995508196453</v>
      </c>
      <c r="K23" s="268" t="str">
        <f>IF(OR(H23=0,H23="%"),"%",_xlfn.CONCAT(ROUND(J23-H23,3)*100,"pt"))</f>
        <v>0pt</v>
      </c>
      <c r="L23" s="273">
        <f>J23</f>
        <v>0.61027995508196453</v>
      </c>
      <c r="M23" s="268" t="str">
        <f>IF(OR(J23=0,J23="%"),"%",_xlfn.CONCAT(ROUND(L23-J23,3)*100,"pt"))</f>
        <v>0pt</v>
      </c>
      <c r="N23" s="273">
        <f>L23</f>
        <v>0.61027995508196453</v>
      </c>
      <c r="O23" s="268" t="str">
        <f>IF(OR(L23=0,L23="%"),"%",_xlfn.CONCAT(ROUND(N23-L23,3)*100,"pt"))</f>
        <v>0pt</v>
      </c>
      <c r="P23" s="273">
        <f>N23</f>
        <v>0.61027995508196453</v>
      </c>
      <c r="Q23" s="268" t="str">
        <f>IF(OR(N23=0,N23="%"),"%",_xlfn.CONCAT(ROUND(P23-N23,3)*100,"pt"))</f>
        <v>0pt</v>
      </c>
      <c r="R23" s="351" t="str">
        <f>IF(OR(C23=0,C23="%"),"%",_xlfn.CONCAT(ROUND(P23-C23,3)*100,"pt"))</f>
        <v>0pt</v>
      </c>
      <c r="S23" s="269" t="str">
        <f>IF(OR(C23=0,C23="%"),"%",_xlfn.CONCAT(ROUND((P23-C23)/7,3)*100,"pt"))</f>
        <v>0pt</v>
      </c>
      <c r="T23" s="294"/>
    </row>
    <row r="24" spans="1:20" s="166" customFormat="1" x14ac:dyDescent="0.2">
      <c r="A24" s="295"/>
      <c r="B24" s="170" t="s">
        <v>276</v>
      </c>
      <c r="C24" s="247">
        <f>IF(C10=0,"%",(-C18*(1-C$23))/(C10))</f>
        <v>-0.12609114065390584</v>
      </c>
      <c r="D24" s="247">
        <f>IF(D10=0,"%",(-D18*(1-D$23))/(D10))</f>
        <v>0.10376477025829535</v>
      </c>
      <c r="E24" s="268" t="str">
        <f>IF(OR(C24=0,C24="%"),"%",_xlfn.CONCAT(ROUND(D24-C24,3)*100,"pt"))</f>
        <v>23pt</v>
      </c>
      <c r="F24" s="247">
        <f>IF(F10=0,"%",(-F18*(1-F$23))/(F10))</f>
        <v>0</v>
      </c>
      <c r="G24" s="268" t="str">
        <f>IF(OR(D24=0,D24="%"),"%",_xlfn.CONCAT(ROUND(F24-D24,3)*100,"pt"))</f>
        <v>-10.4pt</v>
      </c>
      <c r="H24" s="247">
        <f>IF(H10=0,"%",(-H18*(1-H$23))/(H10))</f>
        <v>0</v>
      </c>
      <c r="I24" s="268" t="str">
        <f>IF(OR(F24=0,F24="%"),"%",_xlfn.CONCAT(ROUND(H24-F24,3)*100,"pt"))</f>
        <v>%</v>
      </c>
      <c r="J24" s="247">
        <f>IF(J10=0,"%",(-J18*(1-J$23))/(J10))</f>
        <v>4.3328281895303987E-3</v>
      </c>
      <c r="K24" s="268" t="str">
        <f>IF(OR(H24=0,H24="%"),"%",_xlfn.CONCAT(ROUND(J24-H24,3)*100,"pt"))</f>
        <v>%</v>
      </c>
      <c r="L24" s="247">
        <f>IF(L10=0,"%",(-L18*(1-L$23))/(L10))</f>
        <v>1.1011491720072861E-2</v>
      </c>
      <c r="M24" s="268" t="str">
        <f>IF(OR(J24=0,J24="%"),"%",_xlfn.CONCAT(ROUND(L24-J24,3)*100,"pt"))</f>
        <v>0.7pt</v>
      </c>
      <c r="N24" s="247">
        <f>IF(N10=0,"%",(-N18*(1-N$23))/(N10))</f>
        <v>2.4415715053199261E-3</v>
      </c>
      <c r="O24" s="268" t="str">
        <f>IF(OR(L24=0,L24="%"),"%",_xlfn.CONCAT(ROUND(N24-L24,3)*100,"pt"))</f>
        <v>-0.9pt</v>
      </c>
      <c r="P24" s="247">
        <f>IF(P10=0,"%",(-P18*(1-P$23))/(P10))</f>
        <v>-6.7481970914064909E-3</v>
      </c>
      <c r="Q24" s="268" t="str">
        <f>IF(OR(N24=0,N24="%"),"%",_xlfn.CONCAT(ROUND(P24-N24,3)*100,"pt"))</f>
        <v>-0.9pt</v>
      </c>
      <c r="R24" s="351" t="str">
        <f>IF(OR(C24=0,C24="%"),"%",_xlfn.CONCAT(ROUND(P24-C24,3)*100,"pt"))</f>
        <v>11.9pt</v>
      </c>
      <c r="S24" s="269" t="str">
        <f t="shared" ref="S24:S25" si="4">IF(OR(C24=0,C24="%"),"%",_xlfn.CONCAT(ROUND((P24-C24)/7,3)*100,"pt"))</f>
        <v>1.7pt</v>
      </c>
      <c r="T24" s="294"/>
    </row>
    <row r="25" spans="1:20" s="166" customFormat="1" ht="13.5" thickBot="1" x14ac:dyDescent="0.25">
      <c r="A25" s="295"/>
      <c r="B25" s="259" t="s">
        <v>277</v>
      </c>
      <c r="C25" s="233">
        <f>IF(C8=0,"%",(-C18*C$23)/C8)</f>
        <v>-0.12609114065390581</v>
      </c>
      <c r="D25" s="233">
        <f>IF(D8=0,"%",(-D18*D$23)/D8)</f>
        <v>0.10407981354810096</v>
      </c>
      <c r="E25" s="270" t="str">
        <f>IF(OR(C25=0,C25="%"),"%",_xlfn.CONCAT(ROUND(D25-C25,3)*100,"pt"))</f>
        <v>23pt</v>
      </c>
      <c r="F25" s="233">
        <f>IF(F8=0,"%",(-F18*F$23)/F8)</f>
        <v>0</v>
      </c>
      <c r="G25" s="270" t="str">
        <f>IF(OR(D25=0,D25="%"),"%",_xlfn.CONCAT(ROUND(F25-D25,3)*100,"pt"))</f>
        <v>-10.4pt</v>
      </c>
      <c r="H25" s="233">
        <f>IF(H8=0,"%",(-H18*H$23)/H8)</f>
        <v>0</v>
      </c>
      <c r="I25" s="270" t="str">
        <f>IF(OR(F25=0,F25="%"),"%",_xlfn.CONCAT(ROUND(H25-F25,3)*100,"pt"))</f>
        <v>%</v>
      </c>
      <c r="J25" s="233">
        <f>IF(J8=0,"%",(-J18*J$23)/J8)</f>
        <v>4.7239690630804148E-3</v>
      </c>
      <c r="K25" s="270" t="str">
        <f>IF(OR(H25=0,H25="%"),"%",_xlfn.CONCAT(ROUND(J25-H25,3)*100,"pt"))</f>
        <v>%</v>
      </c>
      <c r="L25" s="233">
        <f>IF(L8=0,"%",(-L18*L$23)/L8)</f>
        <v>1.2068756488179748E-2</v>
      </c>
      <c r="M25" s="270" t="str">
        <f>IF(OR(J25=0,J25="%"),"%",_xlfn.CONCAT(ROUND(L25-J25,3)*100,"pt"))</f>
        <v>0.7pt</v>
      </c>
      <c r="N25" s="233">
        <f>IF(N8=0,"%",(-N18*N$23)/N8)</f>
        <v>2.690020160253135E-3</v>
      </c>
      <c r="O25" s="270" t="str">
        <f>IF(OR(L25=0,L25="%"),"%",_xlfn.CONCAT(ROUND(N25-L25,3)*100,"pt"))</f>
        <v>-0.9pt</v>
      </c>
      <c r="P25" s="233">
        <f>IF(P8=0,"%",(-P18*P$23)/P8)</f>
        <v>-7.6526433773551452E-3</v>
      </c>
      <c r="Q25" s="270" t="str">
        <f>IF(OR(N25=0,N25="%"),"%",_xlfn.CONCAT(ROUND(P25-N25,3)*100,"pt"))</f>
        <v>-1pt</v>
      </c>
      <c r="R25" s="352" t="str">
        <f>IF(OR(C25=0,C25="%"),"%",_xlfn.CONCAT(ROUND(P25-C25,3)*100,"pt"))</f>
        <v>11.8pt</v>
      </c>
      <c r="S25" s="338" t="str">
        <f t="shared" si="4"/>
        <v>1.7pt</v>
      </c>
      <c r="T25" s="294"/>
    </row>
    <row r="26" spans="1:20" s="166" customFormat="1" x14ac:dyDescent="0.2">
      <c r="A26" s="295"/>
      <c r="T26" s="294"/>
    </row>
    <row r="27" spans="1:20" ht="13.5" thickBot="1" x14ac:dyDescent="0.25">
      <c r="A27" s="295"/>
      <c r="B27" s="166"/>
      <c r="C27" s="166"/>
      <c r="D27" s="166"/>
      <c r="E27" s="166"/>
      <c r="F27" s="166"/>
      <c r="G27" s="166"/>
      <c r="H27" s="397"/>
      <c r="I27" s="166"/>
      <c r="J27" s="166"/>
      <c r="K27" s="166"/>
      <c r="L27" s="166"/>
      <c r="M27" s="166"/>
      <c r="N27" s="166"/>
      <c r="O27" s="166"/>
      <c r="P27" s="166"/>
      <c r="Q27" s="166"/>
      <c r="R27" s="166"/>
      <c r="S27" s="166"/>
      <c r="T27" s="294"/>
    </row>
    <row r="28" spans="1:20" x14ac:dyDescent="0.2">
      <c r="A28" s="295"/>
      <c r="B28" s="487" t="s">
        <v>278</v>
      </c>
      <c r="C28" s="276" t="s">
        <v>279</v>
      </c>
      <c r="D28" s="277">
        <v>0.2</v>
      </c>
      <c r="E28" s="168" t="s">
        <v>280</v>
      </c>
      <c r="F28" s="168"/>
      <c r="G28" s="168"/>
      <c r="H28" s="396"/>
      <c r="I28" s="168"/>
      <c r="J28" s="168"/>
      <c r="K28" s="168"/>
      <c r="L28" s="168"/>
      <c r="M28" s="168"/>
      <c r="N28" s="168"/>
      <c r="O28" s="168"/>
      <c r="P28" s="168"/>
      <c r="Q28" s="168"/>
      <c r="R28" s="168"/>
      <c r="S28" s="260"/>
      <c r="T28" s="294"/>
    </row>
    <row r="29" spans="1:20" x14ac:dyDescent="0.2">
      <c r="A29" s="295"/>
      <c r="B29" s="488"/>
      <c r="C29" s="238" t="s">
        <v>281</v>
      </c>
      <c r="D29" s="278">
        <v>0.32</v>
      </c>
      <c r="E29" s="166"/>
      <c r="F29" s="166"/>
      <c r="G29" s="166"/>
      <c r="H29" s="396"/>
      <c r="I29" s="166"/>
      <c r="J29" s="166"/>
      <c r="K29" s="166"/>
      <c r="L29" s="166"/>
      <c r="M29" s="166"/>
      <c r="N29" s="166"/>
      <c r="O29" s="166"/>
      <c r="P29" s="166"/>
      <c r="Q29" s="166"/>
      <c r="R29" s="166"/>
      <c r="S29" s="261"/>
      <c r="T29" s="294"/>
    </row>
    <row r="30" spans="1:20" x14ac:dyDescent="0.2">
      <c r="A30" s="295"/>
      <c r="B30" s="488"/>
      <c r="C30" s="238" t="s">
        <v>282</v>
      </c>
      <c r="D30" s="278">
        <v>0.48</v>
      </c>
      <c r="E30" s="166"/>
      <c r="F30" s="166"/>
      <c r="G30" s="166"/>
      <c r="H30" s="396"/>
      <c r="I30" s="166"/>
      <c r="J30" s="166"/>
      <c r="K30" s="166"/>
      <c r="L30" s="166"/>
      <c r="M30" s="166"/>
      <c r="N30" s="166"/>
      <c r="O30" s="166"/>
      <c r="P30" s="166"/>
      <c r="Q30" s="166"/>
      <c r="R30" s="166"/>
      <c r="S30" s="261"/>
      <c r="T30" s="294"/>
    </row>
    <row r="31" spans="1:20" ht="13.5" thickBot="1" x14ac:dyDescent="0.25">
      <c r="A31" s="295"/>
      <c r="B31" s="489"/>
      <c r="C31" s="275" t="s">
        <v>283</v>
      </c>
      <c r="D31" s="264">
        <f>SUM(D28:D30)</f>
        <v>1</v>
      </c>
      <c r="E31" s="238"/>
      <c r="F31" s="166"/>
      <c r="G31" s="166"/>
      <c r="H31" s="396"/>
      <c r="I31" s="166"/>
      <c r="J31" s="166"/>
      <c r="K31" s="166"/>
      <c r="L31" s="166"/>
      <c r="M31" s="166"/>
      <c r="N31" s="166"/>
      <c r="O31" s="166"/>
      <c r="P31" s="166"/>
      <c r="Q31" s="166"/>
      <c r="R31" s="166"/>
      <c r="S31" s="261"/>
      <c r="T31" s="294"/>
    </row>
    <row r="32" spans="1:20" ht="13.5" thickBot="1" x14ac:dyDescent="0.25">
      <c r="A32" s="295"/>
      <c r="B32" s="169"/>
      <c r="C32" s="166"/>
      <c r="D32" s="166"/>
      <c r="E32" s="166"/>
      <c r="F32" s="166"/>
      <c r="G32" s="166"/>
      <c r="H32" s="166"/>
      <c r="I32" s="166"/>
      <c r="J32" s="166"/>
      <c r="K32" s="166"/>
      <c r="L32" s="166"/>
      <c r="M32" s="166"/>
      <c r="N32" s="166"/>
      <c r="O32" s="166"/>
      <c r="P32" s="166"/>
      <c r="Q32" s="166"/>
      <c r="R32" s="166"/>
      <c r="S32" s="339"/>
      <c r="T32" s="294"/>
    </row>
    <row r="33" spans="1:20" x14ac:dyDescent="0.2">
      <c r="A33" s="295"/>
      <c r="B33" s="305"/>
      <c r="C33" s="301" t="s">
        <v>95</v>
      </c>
      <c r="D33" s="301" t="s">
        <v>96</v>
      </c>
      <c r="E33" s="302" t="s">
        <v>104</v>
      </c>
      <c r="F33" s="303" t="s">
        <v>175</v>
      </c>
      <c r="G33" s="302" t="s">
        <v>104</v>
      </c>
      <c r="H33" s="303" t="s">
        <v>176</v>
      </c>
      <c r="I33" s="302" t="s">
        <v>104</v>
      </c>
      <c r="J33" s="304" t="s">
        <v>177</v>
      </c>
      <c r="K33" s="302" t="s">
        <v>104</v>
      </c>
      <c r="L33" s="304" t="s">
        <v>178</v>
      </c>
      <c r="M33" s="302" t="s">
        <v>104</v>
      </c>
      <c r="N33" s="304" t="s">
        <v>179</v>
      </c>
      <c r="O33" s="302" t="s">
        <v>104</v>
      </c>
      <c r="P33" s="304" t="s">
        <v>180</v>
      </c>
      <c r="Q33" s="302" t="s">
        <v>104</v>
      </c>
      <c r="R33" s="353" t="s">
        <v>261</v>
      </c>
      <c r="S33" s="330" t="s">
        <v>262</v>
      </c>
      <c r="T33" s="294"/>
    </row>
    <row r="34" spans="1:20" x14ac:dyDescent="0.2">
      <c r="A34" s="295"/>
      <c r="B34" s="170" t="s">
        <v>284</v>
      </c>
      <c r="C34" s="234">
        <f>IF(C14=0,"%",(-C18*$D$28)/C14)</f>
        <v>-2.8856817116662267E-2</v>
      </c>
      <c r="D34" s="234">
        <f>IF(D14=0,"%",(-D18*$D$28)/D14)</f>
        <v>2.134604652767819E-2</v>
      </c>
      <c r="E34" s="268" t="str">
        <f>IF(OR(C34=0,C34="%"),"%",_xlfn.CONCAT(ROUND(D34-C34,3)*100,"pt"))</f>
        <v>5pt</v>
      </c>
      <c r="F34" s="234">
        <f>IF(F14=0,"%",(-F18*$D$28)/F14)</f>
        <v>0</v>
      </c>
      <c r="G34" s="268" t="str">
        <f>IF(OR(D34=0,D34="%"),"%",_xlfn.CONCAT(ROUND(F34-D34,3)*100,"pt"))</f>
        <v>-2.1pt</v>
      </c>
      <c r="H34" s="234">
        <f>IF(H14=0,"%",(-H18*$D$28)/H14)</f>
        <v>0</v>
      </c>
      <c r="I34" s="268" t="str">
        <f>IF(OR(F34=0,F34="%"),"%",_xlfn.CONCAT(ROUND(H34-F34,3)*100,"pt"))</f>
        <v>%</v>
      </c>
      <c r="J34" s="234">
        <f>IF(J14=0,"%",(-J18*$D$28)/J14)</f>
        <v>9.3109712453275898E-4</v>
      </c>
      <c r="K34" s="268" t="str">
        <f>IF(OR(H34=0,H34="%"),"%",_xlfn.CONCAT(ROUND(J34-H34,3)*100,"pt"))</f>
        <v>%</v>
      </c>
      <c r="L34" s="234">
        <f>IF(L14=0,"%",(-L18*$D$28)/L14)</f>
        <v>2.3451813709345079E-3</v>
      </c>
      <c r="M34" s="268" t="str">
        <f>IF(OR(J34=0,J34="%"),"%",_xlfn.CONCAT(ROUND(L34-J34,3)*100,"pt"))</f>
        <v>0.1pt</v>
      </c>
      <c r="N34" s="234">
        <f>IF(N14=0,"%",(-N18*$D$28)/N14)</f>
        <v>5.2018429113691658E-4</v>
      </c>
      <c r="O34" s="268" t="str">
        <f>IF(OR(L34=0,L34="%"),"%",_xlfn.CONCAT(ROUND(N34-L34,3)*100,"pt"))</f>
        <v>-0.2pt</v>
      </c>
      <c r="P34" s="234">
        <f>IF(P14=0,"%",(-P18*$D$28)/P14)</f>
        <v>-1.4727382039277993E-3</v>
      </c>
      <c r="Q34" s="268" t="str">
        <f>IF(OR(N34=0,N34="%"),"%",_xlfn.CONCAT(ROUND(P34-N34,3)*100,"pt"))</f>
        <v>-0.2pt</v>
      </c>
      <c r="R34" s="351" t="str">
        <f>IF(OR(C34=0,C34="%"),"%",_xlfn.CONCAT(ROUND(P34-C34,3)*100,"pt"))</f>
        <v>2.7pt</v>
      </c>
      <c r="S34" s="269" t="str">
        <f t="shared" ref="S34:S37" si="5">IF(OR(C34=0,C34="%"),"%",_xlfn.CONCAT(ROUND((P34-C34)/7,3)*100,"pt"))</f>
        <v>0.4pt</v>
      </c>
      <c r="T34" s="294"/>
    </row>
    <row r="35" spans="1:20" x14ac:dyDescent="0.2">
      <c r="A35" s="295"/>
      <c r="B35" s="170" t="s">
        <v>285</v>
      </c>
      <c r="C35" s="234">
        <f>IF(C10=0,"%",(-C18*$D$29)/(C10))</f>
        <v>-0.10353371743487293</v>
      </c>
      <c r="D35" s="234">
        <f>IF(D10=0,"%",(-D18*$D$29)/(D10))</f>
        <v>8.5201484798242827E-2</v>
      </c>
      <c r="E35" s="268" t="str">
        <f>IF(OR(C35=0,C35="%"),"%",_xlfn.CONCAT(ROUND(D35-C35,3)*100,"pt"))</f>
        <v>18.9pt</v>
      </c>
      <c r="F35" s="234">
        <f>IF(F10=0,"%",(-F18*$D$29)/(F10))</f>
        <v>0</v>
      </c>
      <c r="G35" s="268" t="str">
        <f>IF(OR(D35=0,D35="%"),"%",_xlfn.CONCAT(ROUND(F35-D35,3)*100,"pt"))</f>
        <v>-8.5pt</v>
      </c>
      <c r="H35" s="234">
        <f>IF(H10=0,"%",(-H18*$D$29)/(H10))</f>
        <v>0</v>
      </c>
      <c r="I35" s="268" t="str">
        <f>IF(OR(F35=0,F35="%"),"%",_xlfn.CONCAT(ROUND(H35-F35,3)*100,"pt"))</f>
        <v>%</v>
      </c>
      <c r="J35" s="234">
        <f>IF(J10=0,"%",(-J18*$D$29)/(J10))</f>
        <v>3.5576949113339355E-3</v>
      </c>
      <c r="K35" s="268" t="str">
        <f>IF(OR(H35=0,H35="%"),"%",_xlfn.CONCAT(ROUND(J35-H35,3)*100,"pt"))</f>
        <v>%</v>
      </c>
      <c r="L35" s="234">
        <f>IF(L10=0,"%",(-L18*$D$29)/(L10))</f>
        <v>9.0415604646776702E-3</v>
      </c>
      <c r="M35" s="268" t="str">
        <f>IF(OR(J35=0,J35="%"),"%",_xlfn.CONCAT(ROUND(L35-J35,3)*100,"pt"))</f>
        <v>0.5pt</v>
      </c>
      <c r="N35" s="234">
        <f>IF(N10=0,"%",(-N18*$D$29)/(N10))</f>
        <v>2.0047798205162812E-3</v>
      </c>
      <c r="O35" s="268" t="str">
        <f>IF(OR(L35=0,L35="%"),"%",_xlfn.CONCAT(ROUND(N35-L35,3)*100,"pt"))</f>
        <v>-0.7pt</v>
      </c>
      <c r="P35" s="234">
        <f>IF(P10=0,"%",(-P18*$D$29)/(P10))</f>
        <v>-5.5409597155933804E-3</v>
      </c>
      <c r="Q35" s="268" t="str">
        <f>IF(OR(N35=0,N35="%"),"%",_xlfn.CONCAT(ROUND(P35-N35,3)*100,"pt"))</f>
        <v>-0.8pt</v>
      </c>
      <c r="R35" s="351" t="str">
        <f>IF(OR(C35=0,C35="%"),"%",_xlfn.CONCAT(ROUND(P35-C35,3)*100,"pt"))</f>
        <v>9.8pt</v>
      </c>
      <c r="S35" s="269" t="str">
        <f t="shared" si="5"/>
        <v>1.4pt</v>
      </c>
      <c r="T35" s="294"/>
    </row>
    <row r="36" spans="1:20" x14ac:dyDescent="0.2">
      <c r="A36" s="295"/>
      <c r="B36" s="170" t="s">
        <v>277</v>
      </c>
      <c r="C36" s="234">
        <f>IF(C8=0,"%",(-C18*$D$30)/C8)</f>
        <v>-9.9173743148332744E-2</v>
      </c>
      <c r="D36" s="234">
        <f>IF(D8=0,"%",(-D18*$D$30)/D8)</f>
        <v>8.1861300026442346E-2</v>
      </c>
      <c r="E36" s="268" t="str">
        <f>IF(OR(C36=0,C36="%"),"%",_xlfn.CONCAT(ROUND(D36-C36,3)*100,"pt"))</f>
        <v>18.1pt</v>
      </c>
      <c r="F36" s="234">
        <f>IF(F8=0,"%",(-F18*$D$30)/F8)</f>
        <v>0</v>
      </c>
      <c r="G36" s="268" t="str">
        <f>IF(OR(D36=0,D36="%"),"%",_xlfn.CONCAT(ROUND(F36-D36,3)*100,"pt"))</f>
        <v>-8.2pt</v>
      </c>
      <c r="H36" s="234">
        <f>IF(H8=0,"%",(-H18*$D$30)/H8)</f>
        <v>0</v>
      </c>
      <c r="I36" s="268" t="str">
        <f>IF(OR(F36=0,F36="%"),"%",_xlfn.CONCAT(ROUND(H36-F36,3)*100,"pt"))</f>
        <v>%</v>
      </c>
      <c r="J36" s="234">
        <f>IF(J8=0,"%",(-J18*$D$30)/J8)</f>
        <v>3.7155163485159174E-3</v>
      </c>
      <c r="K36" s="268" t="str">
        <f>IF(OR(H36=0,H36="%"),"%",_xlfn.CONCAT(ROUND(J36-H36,3)*100,"pt"))</f>
        <v>%</v>
      </c>
      <c r="L36" s="234">
        <f>IF(L8=0,"%",(-L18*$D$30)/L8)</f>
        <v>9.4923699624842525E-3</v>
      </c>
      <c r="M36" s="268" t="str">
        <f>IF(OR(J36=0,J36="%"),"%",_xlfn.CONCAT(ROUND(L36-J36,3)*100,"pt"))</f>
        <v>0.6pt</v>
      </c>
      <c r="N36" s="234">
        <f>IF(N8=0,"%",(-N18*$D$30)/N8)</f>
        <v>2.1157661597259688E-3</v>
      </c>
      <c r="O36" s="268" t="str">
        <f>IF(OR(L36=0,L36="%"),"%",_xlfn.CONCAT(ROUND(N36-L36,3)*100,"pt"))</f>
        <v>-0.7pt</v>
      </c>
      <c r="P36" s="234">
        <f>IF(P8=0,"%",(-P18*$D$30)/P8)</f>
        <v>-6.0189897940153151E-3</v>
      </c>
      <c r="Q36" s="268" t="str">
        <f>IF(OR(N36=0,N36="%"),"%",_xlfn.CONCAT(ROUND(P36-N36,3)*100,"pt"))</f>
        <v>-0.8pt</v>
      </c>
      <c r="R36" s="351" t="str">
        <f>IF(OR(C36=0,C36="%"),"%",_xlfn.CONCAT(ROUND(P36-C36,3)*100,"pt"))</f>
        <v>9.3pt</v>
      </c>
      <c r="S36" s="269" t="str">
        <f t="shared" si="5"/>
        <v>1.3pt</v>
      </c>
      <c r="T36" s="294"/>
    </row>
    <row r="37" spans="1:20" ht="13.5" thickBot="1" x14ac:dyDescent="0.25">
      <c r="A37" s="295"/>
      <c r="B37" s="262" t="s">
        <v>268</v>
      </c>
      <c r="C37" s="263">
        <f>IF(C8=0,"%",((1+C36)*C8)/(((1+C35)*C10)+((1+C36)*C8)))</f>
        <v>0.61143326146564236</v>
      </c>
      <c r="D37" s="263">
        <f>IF(D8=0,"%",((1+D36)*D8)/(((1+D35)*D10)+((1+D36)*D8)))</f>
        <v>0.60882478345027879</v>
      </c>
      <c r="E37" s="270" t="str">
        <f>IF(OR(C37=0,C37="%"),"%",_xlfn.CONCAT(ROUND(D37-C37,3)*100,"pt"))</f>
        <v>-0.3pt</v>
      </c>
      <c r="F37" s="263">
        <f>IF(F8=0,"%",((1+F36)*F8)/(((1+F35)*F10)+((1+F36)*F8)))</f>
        <v>0.59941107901075485</v>
      </c>
      <c r="G37" s="270" t="str">
        <f>IF(OR(D37=0,D37="%"),"%",_xlfn.CONCAT(ROUND(F37-D37,3)*100,"pt"))</f>
        <v>-0.9pt</v>
      </c>
      <c r="H37" s="263">
        <f>IF(H8=0,"%",((1+H36)*H8)/(((1+H35)*H10)+((1+H36)*H8)))</f>
        <v>0.59281879397158543</v>
      </c>
      <c r="I37" s="270" t="str">
        <f>IF(OR(F37=0,F37="%"),"%",_xlfn.CONCAT(ROUND(H37-F37,3)*100,"pt"))</f>
        <v>-0.7pt</v>
      </c>
      <c r="J37" s="263">
        <f>IF(J8=0,"%",((1+J36)*J8)/(((1+J35)*J10)+((1+J36)*J8)))</f>
        <v>0.58957713112342469</v>
      </c>
      <c r="K37" s="270" t="str">
        <f>IF(OR(H37=0,H37="%"),"%",_xlfn.CONCAT(ROUND(J37-H37,3)*100,"pt"))</f>
        <v>-0.3pt</v>
      </c>
      <c r="L37" s="263">
        <f>IF(L8=0,"%",((1+L36)*L8)/(((1+L35)*L10)+((1+L36)*L8)))</f>
        <v>0.58837584343493476</v>
      </c>
      <c r="M37" s="270" t="str">
        <f>IF(OR(J37=0,J37="%"),"%",_xlfn.CONCAT(ROUND(L37-J37,3)*100,"pt"))</f>
        <v>-0.1pt</v>
      </c>
      <c r="N37" s="263">
        <f>IF(N8=0,"%",((1+N36)*N8)/(((1+N35)*N10)+((1+N36)*N8)))</f>
        <v>0.58702809299682102</v>
      </c>
      <c r="O37" s="270" t="str">
        <f>IF(OR(L37=0,L37="%"),"%",_xlfn.CONCAT(ROUND(N37-L37,3)*100,"pt"))</f>
        <v>-0.1pt</v>
      </c>
      <c r="P37" s="263">
        <f>IF(P8=0,"%",((1+P36)*P8)/(((1+P35)*P10)+((1+P36)*P8)))</f>
        <v>0.57986825283470655</v>
      </c>
      <c r="Q37" s="270" t="str">
        <f>IF(OR(N37=0,N37="%"),"%",_xlfn.CONCAT(ROUND(P37-N37,3)*100,"pt"))</f>
        <v>-0.7pt</v>
      </c>
      <c r="R37" s="352" t="str">
        <f>IF(OR(C37=0,C37="%"),"%",_xlfn.CONCAT(ROUND(P37-C37,3)*100,"pt"))</f>
        <v>-3.2pt</v>
      </c>
      <c r="S37" s="338" t="str">
        <f t="shared" si="5"/>
        <v>-0.5pt</v>
      </c>
      <c r="T37" s="294"/>
    </row>
    <row r="38" spans="1:20" x14ac:dyDescent="0.2">
      <c r="A38" s="295"/>
      <c r="B38" s="166"/>
      <c r="C38" s="166"/>
      <c r="D38" s="166"/>
      <c r="E38" s="166"/>
      <c r="F38" s="166"/>
      <c r="G38" s="166"/>
      <c r="H38" s="166"/>
      <c r="I38" s="166"/>
      <c r="J38" s="166"/>
      <c r="K38" s="166"/>
      <c r="L38" s="166"/>
      <c r="M38" s="166"/>
      <c r="N38" s="166"/>
      <c r="O38" s="166"/>
      <c r="P38" s="166"/>
      <c r="Q38" s="166"/>
      <c r="R38" s="166"/>
      <c r="S38" s="166"/>
      <c r="T38" s="294"/>
    </row>
    <row r="39" spans="1:20" x14ac:dyDescent="0.2">
      <c r="A39" s="295"/>
      <c r="B39" s="166"/>
      <c r="C39" s="166"/>
      <c r="D39" s="166"/>
      <c r="E39" s="166"/>
      <c r="F39" s="166"/>
      <c r="G39" s="166"/>
      <c r="H39" s="166"/>
      <c r="I39" s="166"/>
      <c r="J39" s="166"/>
      <c r="K39" s="166"/>
      <c r="L39" s="166"/>
      <c r="M39" s="166"/>
      <c r="N39" s="166"/>
      <c r="O39" s="166"/>
      <c r="P39" s="166"/>
      <c r="Q39" s="166"/>
      <c r="R39" s="166"/>
      <c r="S39" s="166"/>
      <c r="T39" s="294"/>
    </row>
    <row r="40" spans="1:20" x14ac:dyDescent="0.2">
      <c r="A40" s="297"/>
      <c r="B40" s="167"/>
      <c r="C40" s="167"/>
      <c r="D40" s="167"/>
      <c r="E40" s="167"/>
      <c r="F40" s="167"/>
      <c r="G40" s="167"/>
      <c r="H40" s="167"/>
      <c r="I40" s="167"/>
      <c r="J40" s="167"/>
      <c r="K40" s="167"/>
      <c r="L40" s="167"/>
      <c r="M40" s="167"/>
      <c r="N40" s="167"/>
      <c r="O40" s="167"/>
      <c r="P40" s="167"/>
      <c r="Q40" s="167"/>
      <c r="R40" s="167"/>
      <c r="S40" s="167"/>
      <c r="T40" s="298"/>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4"/>
  <sheetViews>
    <sheetView tabSelected="1" zoomScale="106" zoomScaleNormal="106" workbookViewId="0"/>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0" width="9.140625" style="1"/>
    <col min="11" max="11" width="13.7109375" style="1" bestFit="1" customWidth="1"/>
    <col min="12" max="16384" width="9.140625" style="1"/>
  </cols>
  <sheetData>
    <row r="1" spans="1:12" ht="20.100000000000001" customHeight="1" x14ac:dyDescent="0.2">
      <c r="A1" s="55" t="s">
        <v>286</v>
      </c>
      <c r="B1" s="55"/>
      <c r="C1" s="55"/>
      <c r="D1" s="55"/>
      <c r="E1" s="55"/>
      <c r="F1" s="55"/>
      <c r="G1" s="55"/>
    </row>
    <row r="2" spans="1:12" ht="20.100000000000001" customHeight="1" x14ac:dyDescent="0.2">
      <c r="A2" s="500" t="str">
        <f>'Institution ID'!C3</f>
        <v>Institution Name:   Norfolk State University</v>
      </c>
      <c r="B2" s="500"/>
      <c r="C2" s="500"/>
      <c r="D2" s="500"/>
      <c r="E2" s="500"/>
      <c r="F2" s="500"/>
      <c r="G2" s="500"/>
    </row>
    <row r="3" spans="1:12" s="6" customFormat="1" ht="30" customHeight="1" x14ac:dyDescent="0.2">
      <c r="A3" s="493" t="s">
        <v>287</v>
      </c>
      <c r="B3" s="493"/>
      <c r="C3" s="493"/>
      <c r="D3" s="493"/>
      <c r="E3" s="493"/>
      <c r="F3" s="493"/>
      <c r="G3" s="493"/>
      <c r="H3" s="493"/>
    </row>
    <row r="4" spans="1:12" s="6" customFormat="1" ht="114" customHeight="1" x14ac:dyDescent="0.2">
      <c r="A4" s="508"/>
      <c r="B4" s="508"/>
      <c r="C4" s="508"/>
      <c r="D4" s="508"/>
      <c r="E4" s="508"/>
      <c r="F4" s="508"/>
      <c r="G4" s="508"/>
      <c r="H4" s="508"/>
    </row>
    <row r="5" spans="1:12" s="3" customFormat="1" ht="20.100000000000001" customHeight="1" x14ac:dyDescent="0.2">
      <c r="A5" s="501" t="s">
        <v>288</v>
      </c>
      <c r="B5" s="495" t="s">
        <v>289</v>
      </c>
      <c r="C5" s="496"/>
      <c r="D5" s="496"/>
      <c r="E5" s="496"/>
      <c r="F5" s="496"/>
      <c r="G5" s="496"/>
      <c r="H5" s="497" t="s">
        <v>290</v>
      </c>
    </row>
    <row r="6" spans="1:12" s="3" customFormat="1" ht="20.100000000000001" customHeight="1" x14ac:dyDescent="0.2">
      <c r="A6" s="502"/>
      <c r="B6" s="46"/>
      <c r="C6" s="380"/>
      <c r="D6" s="495" t="s">
        <v>291</v>
      </c>
      <c r="E6" s="496"/>
      <c r="F6" s="496"/>
      <c r="G6" s="496"/>
      <c r="H6" s="498"/>
    </row>
    <row r="7" spans="1:12" s="3" customFormat="1" ht="20.100000000000001" customHeight="1" x14ac:dyDescent="0.2">
      <c r="A7" s="502"/>
      <c r="B7" s="497" t="s">
        <v>292</v>
      </c>
      <c r="C7" s="505" t="s">
        <v>293</v>
      </c>
      <c r="D7" s="496"/>
      <c r="E7" s="496"/>
      <c r="F7" s="496"/>
      <c r="G7" s="496"/>
      <c r="H7" s="498"/>
    </row>
    <row r="8" spans="1:12" s="3" customFormat="1" ht="20.100000000000001" customHeight="1" x14ac:dyDescent="0.2">
      <c r="A8" s="502"/>
      <c r="B8" s="498"/>
      <c r="C8" s="506"/>
      <c r="D8" s="495" t="s">
        <v>175</v>
      </c>
      <c r="E8" s="496"/>
      <c r="F8" s="499" t="s">
        <v>176</v>
      </c>
      <c r="G8" s="496"/>
      <c r="H8" s="498"/>
    </row>
    <row r="9" spans="1:12" s="3" customFormat="1" ht="42" customHeight="1" x14ac:dyDescent="0.2">
      <c r="A9" s="503"/>
      <c r="B9" s="504"/>
      <c r="C9" s="507"/>
      <c r="D9" s="56" t="s">
        <v>183</v>
      </c>
      <c r="E9" s="57" t="s">
        <v>294</v>
      </c>
      <c r="F9" s="58" t="s">
        <v>183</v>
      </c>
      <c r="G9" s="57" t="s">
        <v>294</v>
      </c>
      <c r="H9" s="498"/>
    </row>
    <row r="10" spans="1:12" ht="38.25" x14ac:dyDescent="0.2">
      <c r="A10" s="42">
        <v>1</v>
      </c>
      <c r="B10" s="43" t="s">
        <v>295</v>
      </c>
      <c r="C10" s="47" t="s">
        <v>296</v>
      </c>
      <c r="D10" s="398">
        <v>5000000</v>
      </c>
      <c r="E10" s="398">
        <v>5000000</v>
      </c>
      <c r="F10" s="398">
        <v>5000000</v>
      </c>
      <c r="G10" s="398">
        <v>5000000</v>
      </c>
      <c r="H10" s="399" t="s">
        <v>297</v>
      </c>
      <c r="J10" s="3"/>
      <c r="K10" s="3"/>
      <c r="L10" s="3"/>
    </row>
    <row r="11" spans="1:12" ht="63.75" x14ac:dyDescent="0.2">
      <c r="A11" s="42">
        <v>2</v>
      </c>
      <c r="B11" s="43" t="s">
        <v>301</v>
      </c>
      <c r="C11" s="47" t="s">
        <v>302</v>
      </c>
      <c r="D11" s="398">
        <v>4500000</v>
      </c>
      <c r="E11" s="398">
        <v>4500000</v>
      </c>
      <c r="F11" s="398">
        <v>11000000</v>
      </c>
      <c r="G11" s="398">
        <v>11000000</v>
      </c>
      <c r="H11" s="399" t="s">
        <v>303</v>
      </c>
    </row>
    <row r="12" spans="1:12" ht="57" x14ac:dyDescent="0.2">
      <c r="A12" s="42">
        <v>3</v>
      </c>
      <c r="B12" s="43" t="s">
        <v>298</v>
      </c>
      <c r="C12" s="47" t="s">
        <v>299</v>
      </c>
      <c r="D12" s="398">
        <v>1350000</v>
      </c>
      <c r="E12" s="398">
        <v>1350000</v>
      </c>
      <c r="F12" s="398">
        <v>1350000</v>
      </c>
      <c r="G12" s="398">
        <v>1350000</v>
      </c>
      <c r="H12" s="399" t="s">
        <v>300</v>
      </c>
      <c r="K12" s="394"/>
    </row>
    <row r="13" spans="1:12" ht="51" x14ac:dyDescent="0.2">
      <c r="A13" s="42">
        <v>4</v>
      </c>
      <c r="B13" s="404" t="s">
        <v>223</v>
      </c>
      <c r="C13" s="47" t="s">
        <v>304</v>
      </c>
      <c r="D13" s="398">
        <v>1000000</v>
      </c>
      <c r="E13" s="398">
        <v>500000</v>
      </c>
      <c r="F13" s="398">
        <v>1000000</v>
      </c>
      <c r="G13" s="398">
        <v>500000</v>
      </c>
      <c r="H13" s="399" t="s">
        <v>305</v>
      </c>
    </row>
    <row r="14" spans="1:12" ht="25.5" x14ac:dyDescent="0.2">
      <c r="A14" s="42">
        <v>5</v>
      </c>
      <c r="B14" s="404" t="s">
        <v>306</v>
      </c>
      <c r="C14" s="47" t="s">
        <v>307</v>
      </c>
      <c r="D14" s="398">
        <v>200000</v>
      </c>
      <c r="E14" s="398">
        <v>100000</v>
      </c>
      <c r="F14" s="398">
        <v>1200000</v>
      </c>
      <c r="G14" s="398">
        <v>900000</v>
      </c>
      <c r="H14" s="399" t="s">
        <v>308</v>
      </c>
    </row>
    <row r="15" spans="1:12" ht="38.25" x14ac:dyDescent="0.2">
      <c r="A15" s="42">
        <v>6</v>
      </c>
      <c r="B15" s="404" t="s">
        <v>211</v>
      </c>
      <c r="C15" s="47" t="s">
        <v>309</v>
      </c>
      <c r="D15" s="398">
        <v>100000</v>
      </c>
      <c r="E15" s="398">
        <f>0</f>
        <v>0</v>
      </c>
      <c r="F15" s="398">
        <v>1000000</v>
      </c>
      <c r="G15" s="398">
        <v>561910</v>
      </c>
      <c r="H15" s="399" t="s">
        <v>310</v>
      </c>
    </row>
    <row r="16" spans="1:12" ht="51" x14ac:dyDescent="0.2">
      <c r="A16" s="42">
        <v>7</v>
      </c>
      <c r="B16" s="43" t="s">
        <v>311</v>
      </c>
      <c r="C16" s="47" t="s">
        <v>312</v>
      </c>
      <c r="D16" s="398">
        <v>2000000</v>
      </c>
      <c r="E16" s="398">
        <f>0</f>
        <v>0</v>
      </c>
      <c r="F16" s="398">
        <v>2000000</v>
      </c>
      <c r="G16" s="398">
        <f>0</f>
        <v>0</v>
      </c>
      <c r="H16" s="399" t="s">
        <v>313</v>
      </c>
    </row>
    <row r="17" spans="1:11" ht="28.5" x14ac:dyDescent="0.2">
      <c r="A17" s="42">
        <v>8</v>
      </c>
      <c r="B17" s="43" t="s">
        <v>314</v>
      </c>
      <c r="C17" s="47" t="s">
        <v>304</v>
      </c>
      <c r="D17" s="398">
        <v>354000</v>
      </c>
      <c r="E17" s="398">
        <v>354000</v>
      </c>
      <c r="F17" s="398">
        <v>354000</v>
      </c>
      <c r="G17" s="398">
        <v>354000</v>
      </c>
      <c r="H17" s="399" t="s">
        <v>315</v>
      </c>
    </row>
    <row r="18" spans="1:11" ht="51" x14ac:dyDescent="0.2">
      <c r="A18" s="42">
        <v>9</v>
      </c>
      <c r="B18" s="43" t="s">
        <v>316</v>
      </c>
      <c r="C18" s="47" t="s">
        <v>302</v>
      </c>
      <c r="D18" s="398">
        <v>625000</v>
      </c>
      <c r="E18" s="398">
        <v>625000</v>
      </c>
      <c r="F18" s="398">
        <v>625000</v>
      </c>
      <c r="G18" s="398">
        <v>625000</v>
      </c>
      <c r="H18" s="399" t="s">
        <v>317</v>
      </c>
      <c r="K18" s="395"/>
    </row>
    <row r="19" spans="1:11" ht="63.75" x14ac:dyDescent="0.2">
      <c r="A19" s="42">
        <v>10</v>
      </c>
      <c r="B19" s="43" t="s">
        <v>318</v>
      </c>
      <c r="C19" s="47"/>
      <c r="D19" s="398">
        <f>6000000</f>
        <v>6000000</v>
      </c>
      <c r="E19" s="398">
        <f>6000000</f>
        <v>6000000</v>
      </c>
      <c r="F19" s="398">
        <f>6000000</f>
        <v>6000000</v>
      </c>
      <c r="G19" s="398">
        <f>6000000</f>
        <v>6000000</v>
      </c>
      <c r="H19" s="399" t="s">
        <v>319</v>
      </c>
    </row>
    <row r="20" spans="1:11" ht="20.100000000000001" customHeight="1" x14ac:dyDescent="0.2">
      <c r="A20" s="42"/>
      <c r="B20" s="43"/>
      <c r="C20" s="47"/>
      <c r="D20" s="398">
        <f>0</f>
        <v>0</v>
      </c>
      <c r="E20" s="398">
        <f>0</f>
        <v>0</v>
      </c>
      <c r="F20" s="398">
        <f>0</f>
        <v>0</v>
      </c>
      <c r="G20" s="398">
        <f>0</f>
        <v>0</v>
      </c>
      <c r="H20" s="399"/>
    </row>
    <row r="21" spans="1:11" ht="20.100000000000001" customHeight="1" x14ac:dyDescent="0.2">
      <c r="A21" s="44"/>
      <c r="B21" s="45"/>
      <c r="C21" s="48"/>
      <c r="D21" s="400">
        <f>0</f>
        <v>0</v>
      </c>
      <c r="E21" s="400">
        <f>0</f>
        <v>0</v>
      </c>
      <c r="F21" s="400">
        <f>0</f>
        <v>0</v>
      </c>
      <c r="G21" s="400">
        <f>0</f>
        <v>0</v>
      </c>
      <c r="H21" s="399"/>
    </row>
    <row r="22" spans="1:11" ht="20.100000000000001" customHeight="1" x14ac:dyDescent="0.2">
      <c r="A22" s="44"/>
      <c r="B22" s="45"/>
      <c r="C22" s="48"/>
      <c r="D22" s="401">
        <f>0</f>
        <v>0</v>
      </c>
      <c r="E22" s="401">
        <f>0</f>
        <v>0</v>
      </c>
      <c r="F22" s="401">
        <f>0</f>
        <v>0</v>
      </c>
      <c r="G22" s="401">
        <f>0</f>
        <v>0</v>
      </c>
      <c r="H22" s="399"/>
    </row>
    <row r="23" spans="1:11" ht="15" x14ac:dyDescent="0.2">
      <c r="A23" s="109"/>
      <c r="B23" s="109"/>
      <c r="C23" s="50"/>
      <c r="D23" s="49">
        <f t="shared" ref="D23:G23" si="0">SUM(D10:D22)</f>
        <v>21129000</v>
      </c>
      <c r="E23" s="51">
        <f t="shared" si="0"/>
        <v>18429000</v>
      </c>
      <c r="F23" s="52">
        <f t="shared" si="0"/>
        <v>29529000</v>
      </c>
      <c r="G23" s="51">
        <f t="shared" si="0"/>
        <v>26290910</v>
      </c>
      <c r="H23" s="109"/>
    </row>
    <row r="24" spans="1:11" x14ac:dyDescent="0.2">
      <c r="B24" s="494"/>
      <c r="C24" s="494"/>
      <c r="D24" s="494"/>
      <c r="E24" s="494"/>
    </row>
  </sheetData>
  <sortState xmlns:xlrd2="http://schemas.microsoft.com/office/spreadsheetml/2017/richdata2" ref="A11:H19">
    <sortCondition ref="A11:A19"/>
  </sortState>
  <mergeCells count="12">
    <mergeCell ref="B24:E24"/>
    <mergeCell ref="D8:E8"/>
    <mergeCell ref="H5:H9"/>
    <mergeCell ref="F8:G8"/>
    <mergeCell ref="A2:G2"/>
    <mergeCell ref="A5:A9"/>
    <mergeCell ref="B5:G5"/>
    <mergeCell ref="D6:G6"/>
    <mergeCell ref="B7:B9"/>
    <mergeCell ref="C7:C9"/>
    <mergeCell ref="D7:G7"/>
    <mergeCell ref="A3:H4"/>
  </mergeCells>
  <printOptions horizontalCentered="1"/>
  <pageMargins left="0.2" right="0.2" top="0" bottom="0" header="0" footer="0.15"/>
  <pageSetup scale="56"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2.xml><?xml version="1.0" encoding="utf-8"?>
<ds:datastoreItem xmlns:ds="http://schemas.openxmlformats.org/officeDocument/2006/customXml" ds:itemID="{B173ED9B-A135-4073-9603-C359238DEB16}">
  <ds:schemaRefs>
    <ds:schemaRef ds:uri="http://purl.org/dc/dcmitype/"/>
    <ds:schemaRef ds:uri="http://schemas.microsoft.com/office/2006/documentManagement/types"/>
    <ds:schemaRef ds:uri="15d7af32-a889-49b8-9794-eaf1b5f01da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CF2E45A-6743-4CFA-967F-C81FAC1E5F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Jones, Dennis</cp:lastModifiedBy>
  <cp:revision/>
  <dcterms:created xsi:type="dcterms:W3CDTF">2011-02-22T14:15:27Z</dcterms:created>
  <dcterms:modified xsi:type="dcterms:W3CDTF">2023-10-30T16:18:30Z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220000</vt:r8>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ies>
</file>