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Commonwealth documents,submissions\"/>
    </mc:Choice>
  </mc:AlternateContent>
  <bookViews>
    <workbookView xWindow="-28920" yWindow="-120" windowWidth="29040" windowHeight="15840" tabRatio="659" activeTab="7"/>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21" l="1"/>
  <c r="E15" i="21"/>
  <c r="I55" i="5"/>
  <c r="K45" i="5"/>
  <c r="G45" i="5"/>
  <c r="K43" i="5"/>
  <c r="G43" i="5"/>
  <c r="K42" i="5"/>
  <c r="G42" i="5"/>
  <c r="F42" i="5"/>
  <c r="E42" i="5"/>
  <c r="K41" i="5"/>
  <c r="G41" i="5"/>
  <c r="K40" i="5"/>
  <c r="G40" i="5"/>
  <c r="K39" i="5"/>
  <c r="K37" i="5"/>
  <c r="G37" i="5"/>
  <c r="K36" i="5"/>
  <c r="G36" i="5"/>
  <c r="K35" i="5"/>
  <c r="G35" i="5"/>
  <c r="K34" i="5"/>
  <c r="G34" i="5"/>
  <c r="K33" i="5"/>
  <c r="G33" i="5"/>
  <c r="P23" i="5"/>
  <c r="O23" i="5"/>
  <c r="N23" i="5"/>
  <c r="M23" i="5"/>
  <c r="K23" i="5"/>
  <c r="J23" i="5"/>
  <c r="I23" i="5"/>
  <c r="G23" i="5"/>
  <c r="F23" i="5"/>
  <c r="E23" i="5"/>
  <c r="G22" i="5"/>
  <c r="F22" i="5"/>
  <c r="J18" i="5"/>
  <c r="G18" i="5"/>
  <c r="F18" i="5"/>
  <c r="F17" i="5"/>
  <c r="P16" i="5"/>
  <c r="O16" i="5"/>
  <c r="N16" i="5"/>
  <c r="M16" i="5"/>
  <c r="L16" i="5"/>
  <c r="K16" i="5"/>
  <c r="J16" i="5"/>
  <c r="I16" i="5" s="1"/>
  <c r="H16" i="5"/>
  <c r="G16" i="5"/>
  <c r="F16" i="5"/>
  <c r="E16" i="5"/>
  <c r="P15" i="5"/>
  <c r="O15" i="5"/>
  <c r="N15" i="5"/>
  <c r="M15" i="5"/>
  <c r="L15" i="5"/>
  <c r="K15" i="5"/>
  <c r="J15" i="5"/>
  <c r="I15" i="5" s="1"/>
  <c r="H15" i="5"/>
  <c r="G15" i="5"/>
  <c r="F15" i="5"/>
  <c r="E15" i="5"/>
  <c r="F106" i="28"/>
  <c r="E106" i="28"/>
  <c r="F105" i="28"/>
  <c r="E105" i="28"/>
  <c r="G94" i="28"/>
  <c r="F94" i="28"/>
  <c r="E94" i="28"/>
  <c r="F93" i="28"/>
  <c r="E93" i="28"/>
  <c r="F92" i="28"/>
  <c r="E92" i="28"/>
  <c r="G81" i="28"/>
  <c r="F81" i="28"/>
  <c r="E81" i="28"/>
  <c r="F80" i="28"/>
  <c r="E80" i="28"/>
  <c r="F79" i="28"/>
  <c r="E79" i="28"/>
  <c r="F67" i="28"/>
  <c r="E67" i="28"/>
  <c r="F66" i="28"/>
  <c r="E66" i="28"/>
  <c r="G55" i="28"/>
  <c r="F55" i="28"/>
  <c r="E55" i="28"/>
  <c r="F54" i="28"/>
  <c r="E54" i="28"/>
  <c r="F53" i="28"/>
  <c r="E53" i="28"/>
  <c r="F41" i="28"/>
  <c r="E41" i="28"/>
  <c r="F40" i="28"/>
  <c r="E40" i="28"/>
  <c r="F28" i="28"/>
  <c r="E28" i="28"/>
  <c r="F27" i="28"/>
  <c r="E27" i="28"/>
  <c r="F15" i="28"/>
  <c r="E15" i="28"/>
  <c r="F14" i="28"/>
  <c r="B8" i="2"/>
  <c r="B7" i="2"/>
  <c r="K49" i="5"/>
  <c r="K48" i="5"/>
  <c r="K47" i="5"/>
  <c r="K46" i="5"/>
  <c r="K31" i="5"/>
  <c r="K30" i="5"/>
  <c r="K29" i="5"/>
  <c r="K28" i="5"/>
  <c r="K26" i="5"/>
  <c r="K25" i="5"/>
  <c r="K20" i="5"/>
  <c r="K19" i="5"/>
  <c r="G19" i="5"/>
  <c r="G20" i="5"/>
  <c r="G25" i="5"/>
  <c r="G26" i="5"/>
  <c r="G28" i="5"/>
  <c r="G29" i="5"/>
  <c r="G30" i="5"/>
  <c r="G31" i="5"/>
  <c r="G46" i="5"/>
  <c r="G47" i="5"/>
  <c r="G48" i="5"/>
  <c r="G49" i="5"/>
  <c r="D16" i="21"/>
  <c r="E16" i="21"/>
  <c r="F16" i="21"/>
  <c r="G16" i="21"/>
  <c r="D17" i="21"/>
  <c r="E17" i="21"/>
  <c r="F17" i="21"/>
  <c r="G17" i="21"/>
  <c r="D18" i="21"/>
  <c r="E18" i="21"/>
  <c r="F18" i="21"/>
  <c r="G18" i="21"/>
  <c r="D19" i="21"/>
  <c r="E19" i="21"/>
  <c r="F19" i="21"/>
  <c r="G19" i="21"/>
  <c r="D20" i="21"/>
  <c r="E20" i="21"/>
  <c r="F20" i="21"/>
  <c r="G20" i="21"/>
  <c r="D21" i="21"/>
  <c r="E21" i="21"/>
  <c r="F21" i="21"/>
  <c r="G21" i="21"/>
  <c r="G50" i="5" l="1"/>
  <c r="K50" i="5"/>
  <c r="J55" i="5" s="1"/>
  <c r="P46" i="5"/>
  <c r="O46" i="5"/>
  <c r="N46" i="5"/>
  <c r="M46" i="5"/>
  <c r="J46" i="5"/>
  <c r="F46" i="5"/>
  <c r="P47" i="5"/>
  <c r="O47" i="5"/>
  <c r="N47" i="5"/>
  <c r="M47" i="5"/>
  <c r="J47" i="5"/>
  <c r="F47" i="5"/>
  <c r="E47" i="5" s="1"/>
  <c r="P48" i="5"/>
  <c r="O48" i="5"/>
  <c r="N48" i="5"/>
  <c r="M48" i="5"/>
  <c r="J48" i="5"/>
  <c r="F48" i="5"/>
  <c r="P30" i="5"/>
  <c r="O30" i="5"/>
  <c r="N30" i="5"/>
  <c r="M30" i="5"/>
  <c r="J30" i="5"/>
  <c r="F30" i="5"/>
  <c r="P19" i="5"/>
  <c r="O19" i="5"/>
  <c r="N19" i="5"/>
  <c r="M19" i="5"/>
  <c r="J19" i="5"/>
  <c r="F19" i="5"/>
  <c r="P25" i="5"/>
  <c r="O25" i="5"/>
  <c r="N25" i="5"/>
  <c r="M25" i="5"/>
  <c r="J25" i="5"/>
  <c r="F25" i="5"/>
  <c r="E15" i="34"/>
  <c r="I47" i="5" l="1"/>
  <c r="E46" i="5"/>
  <c r="I46" i="5"/>
  <c r="E48" i="5"/>
  <c r="I48" i="5"/>
  <c r="E19" i="5"/>
  <c r="E30" i="5"/>
  <c r="I30" i="5"/>
  <c r="I19" i="5"/>
  <c r="E25" i="5"/>
  <c r="I25" i="5"/>
  <c r="P29" i="5"/>
  <c r="O29" i="5"/>
  <c r="N29" i="5"/>
  <c r="M29" i="5"/>
  <c r="J29" i="5"/>
  <c r="F29" i="5"/>
  <c r="P28" i="5"/>
  <c r="O28" i="5"/>
  <c r="N28" i="5"/>
  <c r="M28" i="5"/>
  <c r="J28" i="5"/>
  <c r="F28" i="5"/>
  <c r="P26" i="5"/>
  <c r="O26" i="5"/>
  <c r="N26" i="5"/>
  <c r="M26" i="5"/>
  <c r="J26" i="5"/>
  <c r="F26" i="5"/>
  <c r="J20" i="5"/>
  <c r="M20" i="5"/>
  <c r="O20" i="5"/>
  <c r="P20" i="5"/>
  <c r="F20" i="5"/>
  <c r="I28" i="5" l="1"/>
  <c r="I20" i="5"/>
  <c r="E26" i="5"/>
  <c r="E20" i="5"/>
  <c r="I29" i="5"/>
  <c r="I26" i="5"/>
  <c r="E29" i="5"/>
  <c r="E28" i="5"/>
  <c r="D14" i="34"/>
  <c r="C14" i="34"/>
  <c r="D31" i="34" l="1"/>
  <c r="P10" i="34" l="1"/>
  <c r="C26" i="2"/>
  <c r="B26" i="2"/>
  <c r="O24" i="2"/>
  <c r="M24" i="2"/>
  <c r="P24" i="2" s="1"/>
  <c r="K24" i="2"/>
  <c r="I24" i="2"/>
  <c r="G24" i="2"/>
  <c r="E24" i="2"/>
  <c r="C24" i="2"/>
  <c r="B24" i="2"/>
  <c r="Q24" i="2"/>
  <c r="D24" i="2" l="1"/>
  <c r="N10" i="34"/>
  <c r="N24" i="2"/>
  <c r="L10" i="34"/>
  <c r="L24" i="2"/>
  <c r="J24" i="2"/>
  <c r="J10" i="34"/>
  <c r="H24" i="2"/>
  <c r="H10" i="34"/>
  <c r="E26" i="2"/>
  <c r="F24" i="2"/>
  <c r="F10" i="34"/>
  <c r="R24" i="2"/>
  <c r="C10" i="34"/>
  <c r="R10" i="34" s="1"/>
  <c r="S10" i="34" s="1"/>
  <c r="D10" i="34"/>
  <c r="A2" i="34"/>
  <c r="G108" i="28"/>
  <c r="F108" i="28"/>
  <c r="E108" i="28"/>
  <c r="C108" i="28"/>
  <c r="D108" i="28" s="1"/>
  <c r="G107" i="28"/>
  <c r="F107" i="28"/>
  <c r="E107" i="28"/>
  <c r="C107" i="28"/>
  <c r="D107" i="28" s="1"/>
  <c r="C106" i="28"/>
  <c r="D106" i="28" s="1"/>
  <c r="C105" i="28"/>
  <c r="D105" i="28" s="1"/>
  <c r="D104" i="28"/>
  <c r="G95" i="28"/>
  <c r="F95" i="28"/>
  <c r="E95" i="28"/>
  <c r="C95" i="28"/>
  <c r="D95" i="28" s="1"/>
  <c r="C94" i="28"/>
  <c r="D94" i="28" s="1"/>
  <c r="C93" i="28"/>
  <c r="D93" i="28" s="1"/>
  <c r="C92" i="28"/>
  <c r="D92" i="28" s="1"/>
  <c r="D91" i="28"/>
  <c r="D90" i="28"/>
  <c r="G82" i="28"/>
  <c r="F82" i="28"/>
  <c r="E82" i="28"/>
  <c r="C82" i="28"/>
  <c r="D82" i="28" s="1"/>
  <c r="C81" i="28"/>
  <c r="D81" i="28" s="1"/>
  <c r="C80" i="28"/>
  <c r="D80" i="28" s="1"/>
  <c r="C79" i="28"/>
  <c r="D79" i="28" s="1"/>
  <c r="D78" i="28"/>
  <c r="G69" i="28"/>
  <c r="F69" i="28"/>
  <c r="E69" i="28"/>
  <c r="C69" i="28"/>
  <c r="D69" i="28" s="1"/>
  <c r="G68" i="28"/>
  <c r="F68" i="28"/>
  <c r="E68" i="28"/>
  <c r="C68" i="28"/>
  <c r="D68" i="28" s="1"/>
  <c r="C67" i="28"/>
  <c r="D67" i="28" s="1"/>
  <c r="C66" i="28"/>
  <c r="D66" i="28" s="1"/>
  <c r="D65" i="28"/>
  <c r="Q25" i="2"/>
  <c r="C8" i="34"/>
  <c r="H23" i="2"/>
  <c r="L23" i="2"/>
  <c r="J23" i="2"/>
  <c r="N23" i="2"/>
  <c r="P23" i="2"/>
  <c r="Q23" i="2"/>
  <c r="E25" i="2"/>
  <c r="C13" i="34" l="1"/>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G26" i="2" s="1"/>
  <c r="D8" i="34"/>
  <c r="F25" i="2"/>
  <c r="D25" i="2"/>
  <c r="E8" i="34"/>
  <c r="H25" i="2" l="1"/>
  <c r="C23" i="34"/>
  <c r="C17" i="34"/>
  <c r="D13" i="34"/>
  <c r="D12" i="34"/>
  <c r="E12" i="34" s="1"/>
  <c r="E13" i="34"/>
  <c r="I25" i="2"/>
  <c r="I26" i="2" s="1"/>
  <c r="J25" i="2"/>
  <c r="D17" i="34" l="1"/>
  <c r="D23" i="34"/>
  <c r="E17" i="34"/>
  <c r="C18" i="34"/>
  <c r="C34" i="34" s="1"/>
  <c r="K25" i="2"/>
  <c r="K26" i="2" s="1"/>
  <c r="L25" i="2"/>
  <c r="E34" i="34" l="1"/>
  <c r="S34" i="34"/>
  <c r="R34" i="34"/>
  <c r="C25" i="34"/>
  <c r="C36" i="34"/>
  <c r="E23" i="34"/>
  <c r="F23" i="34"/>
  <c r="H23" i="34" s="1"/>
  <c r="C24" i="34"/>
  <c r="C35" i="34"/>
  <c r="D18" i="34"/>
  <c r="D34" i="34" s="1"/>
  <c r="G34" i="34" s="1"/>
  <c r="M25" i="2"/>
  <c r="M26" i="2" s="1"/>
  <c r="N25" i="2"/>
  <c r="E18" i="34" l="1"/>
  <c r="D36" i="34"/>
  <c r="D25" i="34"/>
  <c r="G23" i="34"/>
  <c r="C37" i="34"/>
  <c r="E36" i="34"/>
  <c r="S36" i="34"/>
  <c r="R36" i="34"/>
  <c r="E25" i="34"/>
  <c r="I23" i="34"/>
  <c r="D24" i="34"/>
  <c r="E24" i="34" s="1"/>
  <c r="D35" i="34"/>
  <c r="G35" i="34" s="1"/>
  <c r="R35" i="34"/>
  <c r="S35" i="34"/>
  <c r="E35" i="34"/>
  <c r="J23" i="34"/>
  <c r="K23" i="34"/>
  <c r="O25" i="2"/>
  <c r="P25" i="2" s="1"/>
  <c r="G36" i="34" l="1"/>
  <c r="D37" i="34"/>
  <c r="R25" i="2"/>
  <c r="O26" i="2"/>
  <c r="E37" i="34"/>
  <c r="L23" i="34"/>
  <c r="M23" i="34"/>
  <c r="Q19" i="2"/>
  <c r="Q20" i="2"/>
  <c r="Q21" i="2"/>
  <c r="Q22" i="2"/>
  <c r="Q26" i="2"/>
  <c r="B64" i="28"/>
  <c r="B77" i="28"/>
  <c r="B90" i="28"/>
  <c r="B103" i="28"/>
  <c r="B104" i="28"/>
  <c r="H104" i="28" s="1"/>
  <c r="I104" i="28" s="1"/>
  <c r="B105" i="28"/>
  <c r="H105" i="28" s="1"/>
  <c r="I105" i="28" s="1"/>
  <c r="B106" i="28"/>
  <c r="H106" i="28" s="1"/>
  <c r="I106" i="28" s="1"/>
  <c r="I11" i="2"/>
  <c r="K11" i="2"/>
  <c r="M11" i="2"/>
  <c r="O11" i="2"/>
  <c r="I12" i="2"/>
  <c r="K12" i="2"/>
  <c r="M12" i="2"/>
  <c r="O12" i="2"/>
  <c r="I13" i="2"/>
  <c r="L13" i="2" s="1"/>
  <c r="K13" i="2"/>
  <c r="N13" i="2" s="1"/>
  <c r="M13" i="2"/>
  <c r="P13" i="2" s="1"/>
  <c r="O13" i="2"/>
  <c r="Q7" i="2" s="1"/>
  <c r="I14" i="2"/>
  <c r="L14" i="2" s="1"/>
  <c r="K14" i="2"/>
  <c r="N14" i="2" s="1"/>
  <c r="M14" i="2"/>
  <c r="P14" i="2" s="1"/>
  <c r="O14" i="2"/>
  <c r="Q8" i="2" s="1"/>
  <c r="I15" i="2"/>
  <c r="L15" i="2" s="1"/>
  <c r="K15" i="2"/>
  <c r="N15" i="2" s="1"/>
  <c r="M15" i="2"/>
  <c r="P15" i="2" s="1"/>
  <c r="O15" i="2"/>
  <c r="Q9" i="2" s="1"/>
  <c r="I16" i="2"/>
  <c r="L16" i="2" s="1"/>
  <c r="K16" i="2"/>
  <c r="N16" i="2" s="1"/>
  <c r="M16" i="2"/>
  <c r="P16" i="2" s="1"/>
  <c r="O16" i="2"/>
  <c r="Q10" i="2" s="1"/>
  <c r="I17" i="2"/>
  <c r="L17" i="2" s="1"/>
  <c r="K17" i="2"/>
  <c r="N17" i="2" s="1"/>
  <c r="M17" i="2"/>
  <c r="P17" i="2" s="1"/>
  <c r="O17" i="2"/>
  <c r="Q11" i="2" s="1"/>
  <c r="I18" i="2"/>
  <c r="L18" i="2" s="1"/>
  <c r="K18" i="2"/>
  <c r="N18" i="2" s="1"/>
  <c r="M18" i="2"/>
  <c r="P18" i="2" s="1"/>
  <c r="O18" i="2"/>
  <c r="Q12" i="2" s="1"/>
  <c r="I19" i="2"/>
  <c r="L19" i="2" s="1"/>
  <c r="K19" i="2"/>
  <c r="N19" i="2" s="1"/>
  <c r="M19" i="2"/>
  <c r="P19" i="2" s="1"/>
  <c r="O19" i="2"/>
  <c r="Q13" i="2" s="1"/>
  <c r="I20" i="2"/>
  <c r="L20" i="2" s="1"/>
  <c r="K20" i="2"/>
  <c r="N20" i="2" s="1"/>
  <c r="M20" i="2"/>
  <c r="P20" i="2" s="1"/>
  <c r="O20" i="2"/>
  <c r="Q14" i="2" s="1"/>
  <c r="I21" i="2"/>
  <c r="L21" i="2" s="1"/>
  <c r="K21" i="2"/>
  <c r="N21" i="2" s="1"/>
  <c r="M21" i="2"/>
  <c r="P21" i="2" s="1"/>
  <c r="O21" i="2"/>
  <c r="Q15" i="2" s="1"/>
  <c r="Q17" i="2"/>
  <c r="F23" i="2"/>
  <c r="E16" i="29"/>
  <c r="F16" i="29" s="1"/>
  <c r="C16" i="29"/>
  <c r="B16" i="29"/>
  <c r="E12" i="29"/>
  <c r="F12" i="29" s="1"/>
  <c r="C12" i="29"/>
  <c r="B12" i="29"/>
  <c r="F13" i="29"/>
  <c r="F14" i="29"/>
  <c r="F15" i="29"/>
  <c r="D13" i="29"/>
  <c r="D14" i="29"/>
  <c r="D15" i="29"/>
  <c r="D12" i="29" l="1"/>
  <c r="D16" i="29"/>
  <c r="N23" i="34"/>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Q16" i="2" s="1"/>
  <c r="D15" i="34"/>
  <c r="K22" i="2"/>
  <c r="N22" i="2" s="1"/>
  <c r="I22" i="2"/>
  <c r="L22" i="2" s="1"/>
  <c r="P49" i="5"/>
  <c r="P31" i="5"/>
  <c r="O49" i="5"/>
  <c r="O31" i="5"/>
  <c r="N49" i="5"/>
  <c r="N31" i="5"/>
  <c r="M49" i="5"/>
  <c r="M31" i="5"/>
  <c r="B83" i="28" l="1"/>
  <c r="P23" i="34"/>
  <c r="Q23" i="34"/>
  <c r="M50" i="5"/>
  <c r="J15" i="34" s="1"/>
  <c r="P50" i="5"/>
  <c r="P15" i="34" s="1"/>
  <c r="N50" i="5"/>
  <c r="L15" i="34" s="1"/>
  <c r="O50" i="5"/>
  <c r="N15" i="34" s="1"/>
  <c r="B70" i="28"/>
  <c r="H83" i="28"/>
  <c r="I83" i="28" s="1"/>
  <c r="L9" i="34" s="1"/>
  <c r="O9" i="34" s="1"/>
  <c r="I77" i="28"/>
  <c r="B96" i="28"/>
  <c r="B109" i="28"/>
  <c r="I64" i="28"/>
  <c r="H70" i="28"/>
  <c r="I70" i="28" s="1"/>
  <c r="J9" i="34" s="1"/>
  <c r="I90" i="28"/>
  <c r="H96" i="28"/>
  <c r="I96" i="28" s="1"/>
  <c r="N9" i="34" s="1"/>
  <c r="I103" i="28"/>
  <c r="H109" i="28"/>
  <c r="I109" i="28" s="1"/>
  <c r="P9" i="34" s="1"/>
  <c r="E14" i="34"/>
  <c r="Q18" i="2"/>
  <c r="P26" i="2"/>
  <c r="N26" i="2"/>
  <c r="Q9" i="34" l="1"/>
  <c r="M9" i="34"/>
  <c r="R23" i="34"/>
  <c r="S23" i="34"/>
  <c r="Q15" i="34"/>
  <c r="M15" i="34"/>
  <c r="O15" i="34"/>
  <c r="O10" i="34"/>
  <c r="Q10" i="34"/>
  <c r="N11" i="34"/>
  <c r="P11" i="34"/>
  <c r="L26" i="2"/>
  <c r="Q11" i="34" l="1"/>
  <c r="M10" i="34"/>
  <c r="L11" i="34"/>
  <c r="O11" i="34" l="1"/>
  <c r="D10" i="29" l="1"/>
  <c r="F10" i="29"/>
  <c r="D11" i="29"/>
  <c r="F11" i="29"/>
  <c r="F9" i="29" l="1"/>
  <c r="D9" i="29"/>
  <c r="A2" i="29" l="1"/>
  <c r="A2" i="28" l="1"/>
  <c r="G56" i="28"/>
  <c r="F56" i="28"/>
  <c r="E56" i="28"/>
  <c r="C56" i="28"/>
  <c r="D56" i="28" s="1"/>
  <c r="C55" i="28"/>
  <c r="D55" i="28" s="1"/>
  <c r="C54" i="28"/>
  <c r="D54" i="28" s="1"/>
  <c r="C53" i="28"/>
  <c r="D53" i="28" s="1"/>
  <c r="D52" i="28"/>
  <c r="G43" i="28"/>
  <c r="F43" i="28"/>
  <c r="E43" i="28"/>
  <c r="C43" i="28"/>
  <c r="D43" i="28" s="1"/>
  <c r="G42" i="28"/>
  <c r="F42" i="28"/>
  <c r="E42" i="28"/>
  <c r="C42" i="28"/>
  <c r="D42" i="28" s="1"/>
  <c r="C41" i="28"/>
  <c r="D41" i="28" s="1"/>
  <c r="C40" i="28"/>
  <c r="D40" i="28" s="1"/>
  <c r="D39" i="28"/>
  <c r="D38" i="28"/>
  <c r="G30" i="28"/>
  <c r="F30" i="28"/>
  <c r="E30" i="28"/>
  <c r="C30" i="28"/>
  <c r="D30" i="28" s="1"/>
  <c r="G29" i="28"/>
  <c r="F29" i="28"/>
  <c r="E29" i="28"/>
  <c r="C29" i="28"/>
  <c r="D29" i="28" s="1"/>
  <c r="C28" i="28"/>
  <c r="D28" i="28" s="1"/>
  <c r="C27" i="28"/>
  <c r="D27" i="28" s="1"/>
  <c r="D26" i="28"/>
  <c r="G17" i="28"/>
  <c r="F17" i="28"/>
  <c r="E17" i="28"/>
  <c r="C17" i="28"/>
  <c r="D17" i="28" s="1"/>
  <c r="G16" i="28"/>
  <c r="F16" i="28"/>
  <c r="D16" i="28"/>
  <c r="C15" i="28"/>
  <c r="D15" i="28" s="1"/>
  <c r="D14" i="28"/>
  <c r="J12" i="28"/>
  <c r="K12" i="28" s="1"/>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J49" i="5"/>
  <c r="F49" i="5"/>
  <c r="H34" i="2"/>
  <c r="F34" i="2"/>
  <c r="D34" i="2"/>
  <c r="H32" i="2"/>
  <c r="H31" i="2"/>
  <c r="F32" i="2"/>
  <c r="F31" i="2"/>
  <c r="D32" i="2"/>
  <c r="D31" i="2"/>
  <c r="G23" i="21"/>
  <c r="E23" i="21"/>
  <c r="G22" i="21"/>
  <c r="E22" i="21"/>
  <c r="A2" i="21"/>
  <c r="J31" i="5"/>
  <c r="F31" i="5"/>
  <c r="A2" i="5"/>
  <c r="G11" i="2"/>
  <c r="J11" i="2" s="1"/>
  <c r="G12" i="2"/>
  <c r="J12" i="2" s="1"/>
  <c r="G13" i="2"/>
  <c r="J13" i="2" s="1"/>
  <c r="G14" i="2"/>
  <c r="J14" i="2" s="1"/>
  <c r="G15" i="2"/>
  <c r="J15" i="2" s="1"/>
  <c r="G16" i="2"/>
  <c r="J16" i="2" s="1"/>
  <c r="G17" i="2"/>
  <c r="J17" i="2" s="1"/>
  <c r="G18" i="2"/>
  <c r="J18" i="2" s="1"/>
  <c r="G19" i="2"/>
  <c r="J19" i="2" s="1"/>
  <c r="G20" i="2"/>
  <c r="J20" i="2" s="1"/>
  <c r="E11" i="2"/>
  <c r="H11" i="2" s="1"/>
  <c r="E13" i="2"/>
  <c r="H13" i="2" s="1"/>
  <c r="E15" i="2"/>
  <c r="H15" i="2" s="1"/>
  <c r="E17" i="2"/>
  <c r="H17" i="2" s="1"/>
  <c r="E19" i="2"/>
  <c r="H19" i="2" s="1"/>
  <c r="E12" i="2"/>
  <c r="H12" i="2" s="1"/>
  <c r="E14" i="2"/>
  <c r="H14" i="2" s="1"/>
  <c r="E16" i="2"/>
  <c r="H16" i="2" s="1"/>
  <c r="E18" i="2"/>
  <c r="H18" i="2" s="1"/>
  <c r="E20" i="2"/>
  <c r="H20" i="2" s="1"/>
  <c r="C11" i="2"/>
  <c r="F11" i="2" s="1"/>
  <c r="C12" i="2"/>
  <c r="F12" i="2" s="1"/>
  <c r="C13" i="2"/>
  <c r="F13" i="2" s="1"/>
  <c r="C14" i="2"/>
  <c r="F14" i="2" s="1"/>
  <c r="C16" i="2"/>
  <c r="F16" i="2" s="1"/>
  <c r="C18" i="2"/>
  <c r="F18" i="2" s="1"/>
  <c r="C20" i="2"/>
  <c r="F20" i="2" s="1"/>
  <c r="C15" i="2"/>
  <c r="F15" i="2" s="1"/>
  <c r="C17" i="2"/>
  <c r="F17" i="2" s="1"/>
  <c r="C19" i="2"/>
  <c r="F19" i="2" s="1"/>
  <c r="R9" i="2"/>
  <c r="B11" i="2"/>
  <c r="B12" i="2"/>
  <c r="B13" i="2"/>
  <c r="B14" i="2"/>
  <c r="B15" i="2"/>
  <c r="B16" i="2"/>
  <c r="B17" i="2"/>
  <c r="B18" i="2"/>
  <c r="B19" i="2"/>
  <c r="B20"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0" i="5"/>
  <c r="F16" i="34" s="1"/>
  <c r="L50" i="5"/>
  <c r="J50" i="5"/>
  <c r="H16" i="34" s="1"/>
  <c r="J16" i="34" s="1"/>
  <c r="L16" i="34" s="1"/>
  <c r="N16" i="34" s="1"/>
  <c r="P16" i="34" s="1"/>
  <c r="H50" i="5"/>
  <c r="F8" i="34" s="1"/>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24" i="21"/>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D33" i="2" s="1"/>
  <c r="I31" i="5"/>
  <c r="E49" i="5"/>
  <c r="E31" i="5"/>
  <c r="I49" i="5"/>
  <c r="I16" i="34" l="1"/>
  <c r="H33" i="2"/>
  <c r="H6" i="5"/>
  <c r="L6" i="5"/>
  <c r="N8" i="34" s="1"/>
  <c r="H8" i="34"/>
  <c r="E50" i="5"/>
  <c r="F15" i="34" s="1"/>
  <c r="I50" i="5"/>
  <c r="H15" i="34" s="1"/>
  <c r="D22" i="2"/>
  <c r="R22" i="2"/>
  <c r="D21" i="2"/>
  <c r="R21" i="2"/>
  <c r="R26" i="2"/>
  <c r="B18" i="28"/>
  <c r="B31" i="28"/>
  <c r="B44" i="28"/>
  <c r="H44" i="28"/>
  <c r="I44" i="28" s="1"/>
  <c r="F9" i="34" s="1"/>
  <c r="I9" i="34" s="1"/>
  <c r="H18" i="28"/>
  <c r="I18" i="28" s="1"/>
  <c r="C9" i="34" s="1"/>
  <c r="R9" i="34" s="1"/>
  <c r="S9" i="34" s="1"/>
  <c r="H57" i="28"/>
  <c r="I57" i="28" s="1"/>
  <c r="H9" i="34" s="1"/>
  <c r="K9" i="34" s="1"/>
  <c r="H31" i="28"/>
  <c r="I31" i="28" s="1"/>
  <c r="D9" i="34" s="1"/>
  <c r="G9" i="34" s="1"/>
  <c r="B57" i="28"/>
  <c r="J8" i="34" l="1"/>
  <c r="P8" i="34"/>
  <c r="R8" i="34" s="1"/>
  <c r="S8" i="34" s="1"/>
  <c r="L8" i="34"/>
  <c r="O8" i="34" s="1"/>
  <c r="R15" i="34"/>
  <c r="G15" i="34"/>
  <c r="N13" i="34"/>
  <c r="N12" i="34"/>
  <c r="H13" i="34"/>
  <c r="H12" i="34"/>
  <c r="F13" i="34"/>
  <c r="I8" i="34"/>
  <c r="F12" i="34"/>
  <c r="K15" i="34"/>
  <c r="F14" i="34"/>
  <c r="G14" i="34" s="1"/>
  <c r="I15" i="34"/>
  <c r="E9" i="34"/>
  <c r="D26" i="2"/>
  <c r="G10" i="34"/>
  <c r="H26" i="2"/>
  <c r="K10" i="34"/>
  <c r="J11" i="34"/>
  <c r="J26" i="2"/>
  <c r="F26" i="2"/>
  <c r="P12" i="34" l="1"/>
  <c r="R12" i="34" s="1"/>
  <c r="S12" i="34" s="1"/>
  <c r="L12" i="34"/>
  <c r="O12" i="34" s="1"/>
  <c r="Q8" i="34"/>
  <c r="P13" i="34"/>
  <c r="R13" i="34" s="1"/>
  <c r="S13" i="34" s="1"/>
  <c r="L13" i="34"/>
  <c r="O13" i="34" s="1"/>
  <c r="M8" i="34"/>
  <c r="J12" i="34"/>
  <c r="M12" i="34" s="1"/>
  <c r="K8" i="34"/>
  <c r="J13" i="34"/>
  <c r="K13" i="34" s="1"/>
  <c r="Q13" i="34"/>
  <c r="I13" i="34"/>
  <c r="G13" i="34"/>
  <c r="I12" i="34"/>
  <c r="G12" i="34"/>
  <c r="F17" i="34"/>
  <c r="G17" i="34" s="1"/>
  <c r="H14" i="34"/>
  <c r="I14" i="34" s="1"/>
  <c r="M11" i="34"/>
  <c r="H11" i="34"/>
  <c r="D11" i="34"/>
  <c r="E10" i="34"/>
  <c r="I10" i="34"/>
  <c r="F11" i="34"/>
  <c r="Q12" i="34" l="1"/>
  <c r="K12" i="34"/>
  <c r="M13" i="34"/>
  <c r="G11" i="34"/>
  <c r="R11" i="34"/>
  <c r="F18" i="34"/>
  <c r="F34" i="34" s="1"/>
  <c r="I34" i="34" s="1"/>
  <c r="H17" i="34"/>
  <c r="H18" i="34" s="1"/>
  <c r="H34" i="34" s="1"/>
  <c r="K34" i="34" s="1"/>
  <c r="J14" i="34"/>
  <c r="K14" i="34" s="1"/>
  <c r="K11" i="34"/>
  <c r="I11" i="34"/>
  <c r="H36" i="34" l="1"/>
  <c r="H25" i="34"/>
  <c r="F25" i="34"/>
  <c r="F36" i="34"/>
  <c r="H24" i="34"/>
  <c r="H35" i="34"/>
  <c r="K35" i="34" s="1"/>
  <c r="I18" i="34"/>
  <c r="F24" i="34"/>
  <c r="F35" i="34"/>
  <c r="I35" i="34" s="1"/>
  <c r="G18" i="34"/>
  <c r="J17" i="34"/>
  <c r="K17" i="34" s="1"/>
  <c r="L14" i="34"/>
  <c r="M14" i="34" s="1"/>
  <c r="I17" i="34"/>
  <c r="I36" i="34" l="1"/>
  <c r="F37" i="34"/>
  <c r="I25" i="34"/>
  <c r="G25" i="34"/>
  <c r="K36" i="34"/>
  <c r="H37" i="34"/>
  <c r="I24" i="34"/>
  <c r="G24" i="34"/>
  <c r="L17" i="34"/>
  <c r="M17" i="34" s="1"/>
  <c r="J18" i="34"/>
  <c r="N14" i="34"/>
  <c r="O14" i="34" s="1"/>
  <c r="J36" i="34" l="1"/>
  <c r="J25" i="34"/>
  <c r="J34" i="34"/>
  <c r="M34" i="34" s="1"/>
  <c r="I37" i="34"/>
  <c r="G37" i="34"/>
  <c r="J24" i="34"/>
  <c r="J35" i="34"/>
  <c r="M35" i="34" s="1"/>
  <c r="K18" i="34"/>
  <c r="N17" i="34"/>
  <c r="O17" i="34" s="1"/>
  <c r="L18" i="34"/>
  <c r="L34" i="34" s="1"/>
  <c r="O34" i="34" s="1"/>
  <c r="P14" i="34"/>
  <c r="Q14" i="34" l="1"/>
  <c r="R14" i="34"/>
  <c r="S14" i="34" s="1"/>
  <c r="M36" i="34"/>
  <c r="J37" i="34"/>
  <c r="K25" i="34"/>
  <c r="M18" i="34"/>
  <c r="L24" i="34"/>
  <c r="L35" i="34"/>
  <c r="O35" i="34" s="1"/>
  <c r="M24" i="34"/>
  <c r="K24" i="34"/>
  <c r="L36" i="34"/>
  <c r="L25" i="34"/>
  <c r="P17" i="34"/>
  <c r="Q17" i="34" s="1"/>
  <c r="N18" i="34"/>
  <c r="K37" i="34" l="1"/>
  <c r="N25" i="34"/>
  <c r="N36" i="34"/>
  <c r="N34" i="34"/>
  <c r="Q34" i="34" s="1"/>
  <c r="M25" i="34"/>
  <c r="P18" i="34"/>
  <c r="Q18" i="34" s="1"/>
  <c r="R17" i="34"/>
  <c r="S17" i="34" s="1"/>
  <c r="N24" i="34"/>
  <c r="O24" i="34" s="1"/>
  <c r="N35" i="34"/>
  <c r="Q35" i="34" s="1"/>
  <c r="O36" i="34"/>
  <c r="L37" i="34"/>
  <c r="O18" i="34"/>
  <c r="P25" i="34" l="1"/>
  <c r="Q25" i="34" s="1"/>
  <c r="P36" i="34"/>
  <c r="P34" i="34"/>
  <c r="M37" i="34"/>
  <c r="Q36" i="34"/>
  <c r="N37" i="34"/>
  <c r="O25" i="34"/>
  <c r="R18" i="34"/>
  <c r="S18" i="34" s="1"/>
  <c r="P24" i="34"/>
  <c r="P35" i="34"/>
  <c r="O37" i="34" l="1"/>
  <c r="P37" i="34"/>
  <c r="S25" i="34"/>
  <c r="R25" i="34"/>
  <c r="R24" i="34"/>
  <c r="S24" i="34"/>
  <c r="Q24" i="34"/>
  <c r="R37" i="34" l="1"/>
  <c r="S37" i="34"/>
  <c r="Q37" i="34"/>
</calcChain>
</file>

<file path=xl/sharedStrings.xml><?xml version="1.0" encoding="utf-8"?>
<sst xmlns="http://schemas.openxmlformats.org/spreadsheetml/2006/main" count="765" uniqueCount="402">
  <si>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</si>
  <si>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</si>
  <si>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</si>
  <si>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</si>
  <si>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</si>
  <si>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</si>
  <si>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</si>
  <si>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</si>
  <si>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</si>
  <si>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</si>
  <si>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</si>
  <si>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</si>
  <si>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</si>
  <si>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8.</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</si>
  <si>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</si>
  <si>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</si>
  <si>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</si>
  <si>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r>
      <rPr>
        <sz val="12"/>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A separate worksheet (Part 6) is provided for institutions to request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rFont val="Arial"/>
        <family val="2"/>
      </rPr>
      <t xml:space="preserve">                                                                  
</t>
    </r>
    <r>
      <rPr>
        <sz val="12"/>
        <rFont val="Arial"/>
        <family val="2"/>
      </rPr>
      <t xml:space="preserve">Lines 5 and 6 are newly added to collect the estimated E&amp;G expenditures of 2022-23 and 2023-24 as baselines for Tab 7 Pro Forma.     
                                                                                                              </t>
    </r>
    <r>
      <rPr>
        <b/>
        <sz val="12"/>
        <rFont val="Arial"/>
        <family val="2"/>
      </rPr>
      <t xml:space="preserve">
</t>
    </r>
    <r>
      <rPr>
        <sz val="12"/>
        <rFont val="Arial"/>
        <family val="2"/>
      </rPr>
      <t>For the 2026-28 bienium and 2028-2030 bienium, total amounts should be provided as estimates of future expenditures on these items but delineation of reallocation vs. tuition revenue is not calculated.</t>
    </r>
  </si>
  <si>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</si>
  <si>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</si>
  <si>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</si>
  <si>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</si>
  <si>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</si>
  <si>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</si>
  <si>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</si>
  <si>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</si>
  <si>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5.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</si>
  <si>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</si>
  <si>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</si>
  <si>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</si>
  <si>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</si>
  <si>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(thomasallison@schev.edu)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</si>
  <si>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</si>
  <si>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</si>
  <si>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</si>
  <si>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</si>
  <si>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</si>
  <si>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</si>
  <si>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</si>
  <si>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</si>
  <si>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</si>
  <si>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</si>
  <si>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</si>
  <si>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</si>
  <si>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</si>
  <si>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</si>
  <si>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</si>
  <si>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</si>
  <si>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</si>
  <si>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</si>
  <si>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</si>
  <si>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</si>
  <si>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</si>
  <si>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</si>
  <si>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</si>
  <si>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</si>
  <si>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</si>
  <si>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</si>
  <si>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</si>
  <si>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</si>
  <si>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</si>
  <si>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</si>
  <si>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</si>
  <si>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</si>
  <si>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</si>
  <si>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</si>
  <si>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</si>
  <si>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</si>
  <si>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</si>
  <si>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</si>
  <si>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</si>
  <si>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</si>
  <si>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</si>
  <si>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</si>
  <si>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</si>
  <si>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</si>
  <si>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</si>
  <si>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</si>
  <si>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</si>
  <si>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</si>
  <si>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</si>
  <si>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</si>
  <si>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</si>
  <si>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</si>
  <si>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</si>
  <si>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</si>
  <si>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</si>
  <si>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8.</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</si>
  <si>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</si>
  <si>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</si>
  <si>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</si>
  <si>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</si>
  <si>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</si>
  <si>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</si>
  <si>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</si>
  <si>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</si>
  <si>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</si>
  <si>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</si>
  <si>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</si>
  <si>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</si>
  <si>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</si>
  <si>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</si>
  <si>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</si>
  <si>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</si>
  <si>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</si>
  <si>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</si>
  <si>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</si>
  <si>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</si>
  <si>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</si>
  <si>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</si>
  <si>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</si>
  <si>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</si>
  <si>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</si>
  <si>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</si>
  <si>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</si>
  <si>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</si>
  <si>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</si>
  <si>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</si>
  <si>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</si>
  <si>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</si>
  <si>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</si>
  <si>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</si>
  <si>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</si>
  <si>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</si>
  <si>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</si>
  <si>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</si>
  <si>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</si>
  <si>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</si>
  <si>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</si>
  <si>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</si>
  <si>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</si>
  <si>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3.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</si>
  <si>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</si>
  <si>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</si>
  <si>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</si>
  <si>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</si>
  <si>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</si>
  <si>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</si>
  <si>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</si>
  <si>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</si>
  <si>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</si>
  <si>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</si>
  <si>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</si>
  <si>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</si>
  <si>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</si>
  <si>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</si>
  <si>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</si>
  <si>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</si>
  <si>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</si>
  <si>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</si>
  <si>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</si>
  <si>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</si>
  <si>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</si>
  <si>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</si>
  <si>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</si>
  <si>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</si>
  <si>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</si>
  <si>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</si>
  <si>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</si>
  <si>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</si>
  <si>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</si>
  <si>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</si>
  <si>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</si>
  <si>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</si>
  <si>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</si>
  <si>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</si>
  <si>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</si>
  <si>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</si>
  <si>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</si>
  <si>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</si>
  <si>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</si>
  <si>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</si>
  <si>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</si>
  <si>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</si>
  <si>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</si>
  <si>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</si>
  <si>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</si>
  <si>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</si>
  <si>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</si>
  <si>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</si>
  <si>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</si>
  <si>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</si>
  <si>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</si>
  <si>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</si>
  <si>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</si>
  <si>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[Add lines &amp; descriptions here]</t>
  </si>
  <si>
    <t>Inflationary non-personnel cost increases</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</si>
  <si>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</si>
  <si>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</si>
  <si>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</si>
  <si>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</si>
  <si>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</si>
  <si>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</si>
  <si>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</si>
  <si>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</si>
  <si>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</si>
  <si>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</si>
  <si>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</si>
  <si>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</si>
  <si>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</si>
  <si>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</si>
  <si>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</si>
  <si>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</si>
  <si>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</si>
  <si>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</si>
  <si>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</si>
  <si>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</si>
  <si>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</si>
  <si>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</si>
  <si>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</si>
  <si>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</si>
  <si>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prior yr</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</si>
  <si>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</si>
  <si>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</si>
  <si>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</si>
  <si>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</si>
  <si>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</si>
  <si>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</si>
  <si>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</si>
  <si>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</si>
  <si>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</si>
  <si>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</si>
  <si>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</si>
  <si>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</si>
  <si>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</si>
  <si>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</si>
  <si>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</si>
  <si>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</si>
  <si>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</si>
  <si>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</si>
  <si>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</si>
  <si>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</si>
  <si>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</si>
  <si>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</si>
  <si>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</si>
  <si>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</si>
  <si>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</si>
  <si>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</si>
  <si>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</si>
  <si>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</si>
  <si>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</si>
  <si>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</si>
  <si>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</si>
  <si>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</si>
  <si>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</si>
  <si>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</si>
  <si>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</si>
  <si>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</si>
  <si>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</si>
  <si>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</si>
  <si>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</si>
  <si>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</si>
  <si>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</si>
  <si>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</si>
  <si>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</si>
  <si>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</si>
  <si>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</si>
  <si>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</si>
  <si>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</si>
  <si>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</si>
  <si>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</si>
  <si>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</si>
  <si>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</si>
  <si>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</si>
  <si>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</si>
  <si>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</si>
  <si>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</si>
  <si>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</si>
  <si>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</si>
  <si>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</si>
  <si>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</si>
  <si>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</si>
  <si>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</si>
  <si>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</si>
  <si>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</si>
  <si>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</si>
  <si>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</si>
  <si>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</si>
  <si>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</si>
  <si>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</si>
  <si>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</si>
  <si>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</si>
  <si>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</si>
  <si>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</si>
  <si>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</si>
  <si>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</si>
  <si>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</si>
  <si>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</si>
  <si>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</si>
  <si>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</si>
  <si>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</si>
  <si>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</si>
  <si>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</si>
  <si>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</si>
  <si>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</si>
  <si>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</si>
  <si>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</si>
  <si>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</si>
  <si>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</si>
  <si>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</si>
  <si>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</si>
  <si>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</si>
  <si>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</si>
  <si>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</si>
  <si>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</si>
  <si>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</si>
  <si>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</si>
  <si>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</si>
  <si>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</si>
  <si>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</si>
  <si>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</si>
  <si>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</si>
  <si>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</si>
  <si>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</si>
  <si>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</si>
  <si>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</si>
  <si>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</si>
  <si>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</si>
  <si>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</si>
  <si>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</si>
  <si>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</si>
  <si>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</si>
  <si>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</si>
  <si>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</si>
  <si>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</si>
  <si>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</si>
  <si>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</si>
  <si>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</si>
  <si>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</si>
  <si>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</si>
  <si>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5.36% annual VITA charge increase</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</si>
  <si>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</si>
  <si>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</si>
  <si>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</si>
  <si>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</si>
  <si>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</si>
  <si>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</si>
  <si>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</si>
  <si>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</si>
  <si>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</si>
  <si>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</si>
  <si>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</si>
  <si>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</si>
  <si>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</si>
  <si>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</si>
  <si>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</si>
  <si>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</si>
  <si>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</si>
  <si>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</si>
  <si>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</si>
  <si>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</si>
  <si>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</si>
  <si>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</si>
  <si>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4b General Fund Share in FY2022</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</si>
  <si>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</si>
  <si>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3% annual state health insurance cost</t>
  </si>
  <si>
    <r>
      <rPr>
        <sz val="12"/>
        <color rgb="FF000000"/>
        <rFont val="Arial"/>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rPr>
      <t xml:space="preserve">                                                                  
</t>
    </r>
    <r>
      <rPr>
        <sz val="12"/>
        <color rgb="FF000000"/>
        <rFont val="Arial"/>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rPr>
      <t xml:space="preserve">Funding amounts shall assume an annual 2% salary increase for each year from FY2024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</si>
  <si>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Funding amounts shall assume an annual 2% salary increase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</si>
  <si>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t>21400</t>
  </si>
  <si>
    <t>Justin Pope, VP and Chief of Staff</t>
  </si>
  <si>
    <t>popejn@longwood.edu</t>
  </si>
  <si>
    <t>434-395-4805</t>
  </si>
  <si>
    <t>2% increase</t>
  </si>
  <si>
    <t>N/A</t>
  </si>
  <si>
    <t>3% Increase</t>
  </si>
  <si>
    <t>5.36% Increase</t>
  </si>
  <si>
    <t>10% Increase</t>
  </si>
  <si>
    <t>New Master of Science in Nursing and growth in undergraduate nursing</t>
  </si>
  <si>
    <t>Expanded faculty capacity to enroll additional students.See section A3, C5 and C8.</t>
  </si>
  <si>
    <t xml:space="preserve">Expanded variety of K-12 teacher licensure paths </t>
  </si>
  <si>
    <t>Position to coordinate expansion of teacher licensure paths. See section A3 and C5.</t>
  </si>
  <si>
    <t>Curriculum updates to support Elementary Education and teaching</t>
  </si>
  <si>
    <t>Update curriculum to reflect latest licensure requirements and ensure smoother transfer pathways. See section A3 and C5</t>
  </si>
  <si>
    <t>Revising 5-year Liberal Studies/Special Ed degree to a four-year special education degree</t>
  </si>
  <si>
    <t>See section A3 and C5.</t>
  </si>
  <si>
    <t>Additional tracks for MBA - Finance, Accounting, Health Administration</t>
  </si>
  <si>
    <t>Additional support for MBA expansion. See section A3, B1, B2, C7 and C8</t>
  </si>
  <si>
    <t>Post Graduation Success Initiative</t>
  </si>
  <si>
    <t>Support for coordination of career and micro-internship, and support for initiative to infuse life and career preparation more directly into academic advising and coaching. See section A3 and C5.</t>
  </si>
  <si>
    <t>Mental Health</t>
  </si>
  <si>
    <t xml:space="preserve">To support mental health programs. See section A3, C2. </t>
  </si>
  <si>
    <t>Retention Initaitves - BOND program</t>
  </si>
  <si>
    <t>See section A3, B2, C2, C3</t>
  </si>
  <si>
    <t>Early Alert/Student Support Management</t>
  </si>
  <si>
    <t>See section A3, C2</t>
  </si>
  <si>
    <t>Improved Retention Data Initiative</t>
  </si>
  <si>
    <t>University Analytics project to develop retention dashboards. See section A3, B2.</t>
  </si>
  <si>
    <t>Moton Museum Partnership</t>
  </si>
  <si>
    <t>See section J.</t>
  </si>
  <si>
    <t xml:space="preserve">Access and Affordability </t>
  </si>
  <si>
    <t>VMSDEP Support</t>
  </si>
  <si>
    <t>Increase Financial Aid Funding for Pell-eligible Students</t>
  </si>
  <si>
    <t>Teacher Preparation: Grow Your Own</t>
  </si>
  <si>
    <t xml:space="preserve">Nursing Education </t>
  </si>
  <si>
    <t>Student Mental Health Programs</t>
  </si>
  <si>
    <t xml:space="preserve">Funding would help the University limit in-state undergraduate tuition increases by addressing increased costs resulting from inflation and state-mandated salary and benefit increases. </t>
  </si>
  <si>
    <t xml:space="preserve">Funding would help Longwood address costs associated with the Virginia Military Survivors &amp; Dependents Program (VMSDEP), which has grown by more than 40% over the last two years. </t>
  </si>
  <si>
    <t xml:space="preserve">Additional funding would help Longwood increase support for Pell-eligible students. Longwood saw a 30% increase in enrollment of Pell-eligible first-year students from Fall 2022 to Fall 2023, and the University expects to continue to increase enrollment of Pell-eligible students. Additional funding would complement Longwood's recent award from SCHEV for a Recruitment initiative of rural, Pell-eligible students. </t>
  </si>
  <si>
    <t xml:space="preserve">In collaboration with James Madison University, Old Dominion University, and local school divisions, this funding would help the address roughly 3,500 FTE teacher vacancies in Virginia by supporting an expansion of an existing, successful teacher licensure program at JMU, currently funded through a congressional appropriation. The Grow Your Own online pilot program at JMU provides affordable training and support for 167 paraprofessionals with bachelor's degrees eligible for a provisional teaching license who are interested in becoming teachers. With state support, Longwood could offer the program to roughly 100 participants in the Southern Virginia region, where the majority of school divisions serve a high number of students receiving free and reduced lunch and where teacher attrition rates are high. </t>
  </si>
  <si>
    <t>Funding would address the nursing shortage by providing additional funds to increase nursing faculty compensation, boosting faculty retention and recruitment and increasing the number of Longwood nursing graduates.</t>
  </si>
  <si>
    <t>Funding would support continuation of two successful programs aimed at expanding mental health services to students at Longwood: the Resident Counselor program, currently supported via the SCHEV/VHCF Higher Education Mental Health Workforce Pilot  grant, and Longwood's  trauma-informed counselor program. The Resident Counselor program also increases the mental health workforce pipeline overall, a clear priority for the Commonwealth of Virginia.</t>
  </si>
  <si>
    <t xml:space="preserve">This is the incremental amount  of increased tuit rev in Part 2 for FY24-25.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</si>
</sst>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rgb="FF000000"/>
      <name val="Arial"/>
    </font>
    <font>
      <b/>
      <sz val="12"/>
      <color rgb="FF000000"/>
      <name val="Arial"/>
    </font>
    <font>
      <sz val="12"/>
      <color rgb="FFFF0000"/>
      <name val="Arial"/>
    </font>
    <font>
      <sz val="12"/>
      <color theme="1"/>
      <name val="Calibri"/>
      <family val="2"/>
      <scheme val="minor"/>
    </font>
    <font>
      <b/>
      <sz val="12"/>
      <color theme="1"/>
      <name val="Calibri"/>
      <family val="2"/>
      <scheme val="minor"/>
    </font>
    <font>
      <sz val="10"/>
      <color theme="1"/>
      <name val="Calibri"/>
      <family val="2"/>
      <scheme val="minor"/>
    </font>
    <font>
      <b/>
      <sz val="12"/>
      <name val="Arial"/>
    </font>
    <font>
      <b/>
      <sz val="11"/>
      <color theme="1"/>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2F2F2"/>
        <bgColor rgb="FF000000"/>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79">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0" fontId="12" fillId="0" borderId="55" xfId="0" applyFont="1" applyBorder="1"/>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1" xfId="1" applyFont="1" applyFill="1" applyBorder="1" applyAlignment="1">
      <alignmen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0" fontId="75" fillId="0" borderId="1" xfId="0" applyFont="1" applyBorder="1"/>
    <xf numFmtId="0" fontId="75"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7" fillId="0" borderId="0" xfId="0" applyFont="1"/>
    <xf numFmtId="0" fontId="76" fillId="0" borderId="1" xfId="0" applyFont="1" applyBorder="1" applyAlignment="1">
      <alignment horizontal="center"/>
    </xf>
    <xf numFmtId="0" fontId="76" fillId="0" borderId="2" xfId="0" applyFont="1" applyBorder="1" applyAlignment="1">
      <alignment horizontal="center"/>
    </xf>
    <xf numFmtId="0" fontId="76" fillId="0" borderId="0" xfId="0" applyFont="1"/>
    <xf numFmtId="164" fontId="0" fillId="0" borderId="56" xfId="0" applyNumberFormat="1" applyBorder="1"/>
    <xf numFmtId="164" fontId="0" fillId="0" borderId="28" xfId="0" applyNumberFormat="1" applyBorder="1"/>
    <xf numFmtId="9" fontId="13" fillId="6" borderId="7" xfId="83" applyFont="1" applyFill="1" applyBorder="1" applyAlignment="1" applyProtection="1">
      <alignment horizontal="right" vertical="center"/>
      <protection locked="0"/>
    </xf>
    <xf numFmtId="0" fontId="14" fillId="11" borderId="0" xfId="0" applyFont="1" applyFill="1" applyAlignment="1">
      <alignment vertical="center" wrapText="1"/>
    </xf>
    <xf numFmtId="0" fontId="12" fillId="12" borderId="57" xfId="0" applyFont="1" applyFill="1" applyBorder="1" applyAlignment="1">
      <alignment vertical="center" wrapText="1"/>
    </xf>
    <xf numFmtId="6" fontId="69" fillId="12" borderId="56" xfId="0" applyNumberFormat="1" applyFont="1" applyFill="1" applyBorder="1" applyAlignment="1">
      <alignment horizontal="right" vertical="center" wrapText="1"/>
    </xf>
    <xf numFmtId="0" fontId="12" fillId="9" borderId="57" xfId="0" applyFont="1" applyFill="1" applyBorder="1" applyAlignment="1">
      <alignment vertical="center" wrapText="1"/>
    </xf>
    <xf numFmtId="6" fontId="69" fillId="12" borderId="57" xfId="0" applyNumberFormat="1" applyFont="1" applyFill="1" applyBorder="1" applyAlignment="1">
      <alignment horizontal="right" vertical="center" wrapText="1"/>
    </xf>
    <xf numFmtId="0" fontId="79" fillId="0" borderId="47" xfId="0" applyFont="1" applyBorder="1" applyAlignment="1">
      <alignment vertical="top" wrapText="1"/>
    </xf>
    <xf numFmtId="164" fontId="69" fillId="0" borderId="30" xfId="0" applyNumberFormat="1" applyFont="1" applyBorder="1" applyAlignment="1">
      <alignment horizontal="right" vertical="center" wrapText="1"/>
    </xf>
    <xf numFmtId="0" fontId="12" fillId="0" borderId="55" xfId="0" applyFont="1" applyBorder="1" applyAlignment="1">
      <alignment wrapText="1"/>
    </xf>
    <xf numFmtId="0" fontId="12" fillId="6" borderId="27" xfId="0" applyFont="1" applyFill="1" applyBorder="1" applyAlignment="1">
      <alignment vertical="center" wrapText="1"/>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8"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cellXfs>
  <cellStyles count="139">
    <cellStyle name="Comma" xfId="138" builtinId="3"/>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33" builtinId="9" hidden="1"/>
    <cellStyle name="Followed Hyperlink" xfId="36" builtinId="9" hidden="1"/>
    <cellStyle name="Followed Hyperlink" xfId="38" builtinId="9" hidden="1"/>
    <cellStyle name="Followed Hyperlink" xfId="63" builtinId="9" hidden="1"/>
    <cellStyle name="Followed Hyperlink" xfId="53" builtinId="9" hidden="1"/>
    <cellStyle name="Followed Hyperlink" xfId="28" builtinId="9" hidden="1"/>
    <cellStyle name="Followed Hyperlink" xfId="24" builtinId="9" hidden="1"/>
    <cellStyle name="Followed Hyperlink" xfId="27" builtinId="9" hidden="1"/>
    <cellStyle name="Followed Hyperlink" xfId="19" builtinId="9" hidden="1"/>
    <cellStyle name="Followed Hyperlink" xfId="15" builtinId="9" hidden="1"/>
    <cellStyle name="Followed Hyperlink" xfId="47" builtinId="9" hidden="1"/>
    <cellStyle name="Followed Hyperlink" xfId="39" builtinId="9" hidden="1"/>
    <cellStyle name="Followed Hyperlink" xfId="52" builtinId="9" hidden="1"/>
    <cellStyle name="Followed Hyperlink" xfId="54" builtinId="9" hidden="1"/>
    <cellStyle name="Followed Hyperlink" xfId="31" builtinId="9" hidden="1"/>
    <cellStyle name="Followed Hyperlink" xfId="55" builtinId="9" hidden="1"/>
    <cellStyle name="Followed Hyperlink" xfId="16" builtinId="9" hidden="1"/>
    <cellStyle name="Followed Hyperlink" xfId="18" builtinId="9" hidden="1"/>
    <cellStyle name="Followed Hyperlink" xfId="26" builtinId="9" hidden="1"/>
    <cellStyle name="Followed Hyperlink" xfId="22" builtinId="9" hidden="1"/>
    <cellStyle name="Followed Hyperlink" xfId="35" builtinId="9" hidden="1"/>
    <cellStyle name="Followed Hyperlink" xfId="73" builtinId="9" hidden="1"/>
    <cellStyle name="Followed Hyperlink" xfId="30" builtinId="9" hidden="1"/>
    <cellStyle name="Followed Hyperlink" xfId="40" builtinId="9" hidden="1"/>
    <cellStyle name="Followed Hyperlink" xfId="34" builtinId="9" hidden="1"/>
    <cellStyle name="Followed Hyperlink" xfId="29" builtinId="9" hidden="1"/>
    <cellStyle name="Followed Hyperlink" xfId="68" builtinId="9" hidden="1"/>
    <cellStyle name="Followed Hyperlink" xfId="62" builtinId="9" hidden="1"/>
    <cellStyle name="Followed Hyperlink" xfId="78" builtinId="9" hidden="1"/>
    <cellStyle name="Followed Hyperlink" xfId="74" builtinId="9" hidden="1"/>
    <cellStyle name="Followed Hyperlink" xfId="70" builtinId="9" hidden="1"/>
    <cellStyle name="Followed Hyperlink" xfId="32" builtinId="9" hidden="1"/>
    <cellStyle name="Followed Hyperlink" xfId="42" builtinId="9" hidden="1"/>
    <cellStyle name="Followed Hyperlink" xfId="49" builtinId="9" hidden="1"/>
    <cellStyle name="Followed Hyperlink" xfId="41" builtinId="9" hidden="1"/>
    <cellStyle name="Followed Hyperlink" xfId="20" builtinId="9" hidden="1"/>
    <cellStyle name="Followed Hyperlink" xfId="17" builtinId="9" hidden="1"/>
    <cellStyle name="Followed Hyperlink" xfId="23" builtinId="9" hidden="1"/>
    <cellStyle name="Followed Hyperlink" xfId="21" builtinId="9" hidden="1"/>
    <cellStyle name="Followed Hyperlink" xfId="43" builtinId="9" hidden="1"/>
    <cellStyle name="Followed Hyperlink" xfId="56" builtinId="9" hidden="1"/>
    <cellStyle name="Followed Hyperlink" xfId="50" builtinId="9" hidden="1"/>
    <cellStyle name="Followed Hyperlink" xfId="79" builtinId="9" hidden="1"/>
    <cellStyle name="Followed Hyperlink" xfId="71" builtinId="9" hidden="1"/>
    <cellStyle name="Followed Hyperlink" xfId="69" builtinId="9" hidden="1"/>
    <cellStyle name="Followed Hyperlink" xfId="65" builtinId="9" hidden="1"/>
    <cellStyle name="Followed Hyperlink" xfId="57" builtinId="9" hidden="1"/>
    <cellStyle name="Followed Hyperlink" xfId="61" builtinId="9" hidden="1"/>
    <cellStyle name="Followed Hyperlink" xfId="77" builtinId="9" hidden="1"/>
    <cellStyle name="Followed Hyperlink" xfId="51" builtinId="9" hidden="1"/>
    <cellStyle name="Followed Hyperlink" xfId="25" builtinId="9" hidden="1"/>
    <cellStyle name="Followed Hyperlink" xfId="45" builtinId="9" hidden="1"/>
    <cellStyle name="Followed Hyperlink" xfId="67" builtinId="9" hidden="1"/>
    <cellStyle name="Followed Hyperlink" xfId="81" builtinId="9" hidden="1"/>
    <cellStyle name="Followed Hyperlink" xfId="72" builtinId="9" hidden="1"/>
    <cellStyle name="Followed Hyperlink" xfId="76" builtinId="9" hidden="1"/>
    <cellStyle name="Followed Hyperlink" xfId="80" builtinId="9" hidden="1"/>
    <cellStyle name="Followed Hyperlink" xfId="82" builtinId="9" hidden="1"/>
    <cellStyle name="Followed Hyperlink" xfId="64" builtinId="9" hidden="1"/>
    <cellStyle name="Followed Hyperlink" xfId="66" builtinId="9" hidden="1"/>
    <cellStyle name="Followed Hyperlink" xfId="60" builtinId="9" hidden="1"/>
    <cellStyle name="Followed Hyperlink" xfId="58" builtinId="9" hidden="1"/>
    <cellStyle name="Followed Hyperlink" xfId="48" builtinId="9" hidden="1"/>
    <cellStyle name="Followed Hyperlink" xfId="37" builtinId="9" hidden="1"/>
    <cellStyle name="Followed Hyperlink" xfId="75" builtinId="9" hidden="1"/>
    <cellStyle name="Followed Hyperlink" xfId="59" builtinId="9" hidden="1"/>
    <cellStyle name="Followed Hyperlink" xfId="46" builtinId="9" hidden="1"/>
    <cellStyle name="Followed Hyperlink" xfId="44"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pejn@longwood.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topLeftCell="A15" workbookViewId="0">
      <selection activeCell="A19" sqref="A19"/>
    </sheetView>
  </sheetViews>
  <sheetFormatPr defaultColWidth="164.453125" defaultRowHeight="15.5" x14ac:dyDescent="0.25"/>
  <cols>
    <col min="1" max="1" width="170.54296875" style="63" customWidth="1"/>
    <col min="2" max="16384" width="164.453125" style="63"/>
  </cols>
  <sheetData>
    <row r="1" spans="1:1" ht="21" customHeight="1" x14ac:dyDescent="0.25">
      <c r="A1" s="62" t="s">
        <v>0</v>
      </c>
    </row>
    <row r="2" spans="1:1" ht="21" customHeight="1" x14ac:dyDescent="0.25">
      <c r="A2" s="62" t="s">
        <v>1</v>
      </c>
    </row>
    <row r="3" spans="1:1" ht="21" customHeight="1" x14ac:dyDescent="0.25">
      <c r="A3" s="361" t="s">
        <v>2</v>
      </c>
    </row>
    <row r="4" spans="1:1" ht="16.399999999999999" customHeight="1" x14ac:dyDescent="0.25">
      <c r="A4" s="362"/>
    </row>
    <row r="5" spans="1:1" ht="21" customHeight="1" x14ac:dyDescent="0.25">
      <c r="A5" s="64" t="s">
        <v>3</v>
      </c>
    </row>
    <row r="6" spans="1:1" s="65" customFormat="1" ht="75" customHeight="1" x14ac:dyDescent="0.25">
      <c r="A6" s="74" t="s">
        <v>4</v>
      </c>
    </row>
    <row r="7" spans="1:1" s="66" customFormat="1" ht="21" customHeight="1" x14ac:dyDescent="0.25">
      <c r="A7" s="64" t="s">
        <v>5</v>
      </c>
    </row>
    <row r="8" spans="1:1" s="65" customFormat="1" ht="69.650000000000006" customHeight="1" x14ac:dyDescent="0.25">
      <c r="A8" s="363" t="s">
        <v>6</v>
      </c>
    </row>
    <row r="9" spans="1:1" s="65" customFormat="1" ht="54.65" customHeight="1" thickBot="1" x14ac:dyDescent="0.3">
      <c r="A9" s="67" t="s">
        <v>7</v>
      </c>
    </row>
    <row r="10" spans="1:1" s="65" customFormat="1" ht="33" customHeight="1" thickBot="1" x14ac:dyDescent="0.3">
      <c r="A10" s="68" t="s">
        <v>8</v>
      </c>
    </row>
    <row r="11" spans="1:1" s="65" customFormat="1" ht="23.5" customHeight="1" x14ac:dyDescent="0.25">
      <c r="A11" s="70" t="s">
        <v>9</v>
      </c>
    </row>
    <row r="12" spans="1:1" s="65" customFormat="1" ht="57" customHeight="1" x14ac:dyDescent="0.25">
      <c r="A12" s="71" t="s">
        <v>10</v>
      </c>
    </row>
    <row r="13" spans="1:1" s="69" customFormat="1" ht="21" customHeight="1" x14ac:dyDescent="0.25">
      <c r="A13" s="70" t="s">
        <v>11</v>
      </c>
    </row>
    <row r="14" spans="1:1" s="69" customFormat="1" ht="73.5" customHeight="1" x14ac:dyDescent="0.25">
      <c r="A14" s="74" t="s">
        <v>12</v>
      </c>
    </row>
    <row r="15" spans="1:1" s="69" customFormat="1" ht="50.15" customHeight="1" x14ac:dyDescent="0.25">
      <c r="A15" s="74" t="s">
        <v>13</v>
      </c>
    </row>
    <row r="16" spans="1:1" s="73" customFormat="1" ht="21" customHeight="1" x14ac:dyDescent="0.25">
      <c r="A16" s="72" t="s">
        <v>14</v>
      </c>
    </row>
    <row r="17" spans="1:18" s="69" customFormat="1" ht="100.5" customHeight="1" x14ac:dyDescent="0.25">
      <c r="A17" s="74" t="s">
        <v>15</v>
      </c>
    </row>
    <row r="18" spans="1:18" s="69" customFormat="1" ht="21" customHeight="1" x14ac:dyDescent="0.25">
      <c r="A18" s="70" t="s">
        <v>16</v>
      </c>
    </row>
    <row r="19" spans="1:18" s="69" customFormat="1" ht="353.25" customHeight="1" x14ac:dyDescent="0.25">
      <c r="A19" s="364" t="s">
        <v>17</v>
      </c>
      <c r="B19" s="365"/>
      <c r="C19" s="365"/>
      <c r="D19" s="365"/>
      <c r="E19" s="365"/>
      <c r="F19" s="365"/>
      <c r="G19" s="365"/>
      <c r="H19" s="365"/>
      <c r="I19" s="365"/>
      <c r="J19" s="365"/>
      <c r="K19" s="365"/>
      <c r="L19" s="365"/>
      <c r="M19" s="365"/>
      <c r="N19" s="365"/>
      <c r="O19" s="365"/>
    </row>
    <row r="20" spans="1:18" s="69" customFormat="1" ht="139.5" x14ac:dyDescent="0.25">
      <c r="A20" s="366" t="s">
        <v>357</v>
      </c>
      <c r="B20" s="365"/>
      <c r="C20" s="365"/>
      <c r="D20" s="365"/>
      <c r="E20" s="365"/>
      <c r="F20" s="365"/>
      <c r="G20" s="365"/>
      <c r="H20" s="365"/>
      <c r="I20" s="365"/>
      <c r="J20" s="365"/>
      <c r="K20" s="365"/>
      <c r="L20" s="365"/>
      <c r="M20" s="365"/>
      <c r="N20" s="365"/>
      <c r="O20" s="365"/>
    </row>
    <row r="21" spans="1:18" s="65" customFormat="1" ht="37.5" customHeight="1" x14ac:dyDescent="0.25">
      <c r="A21" s="367" t="s">
        <v>18</v>
      </c>
    </row>
    <row r="22" spans="1:18" s="65" customFormat="1" ht="33.65" customHeight="1" x14ac:dyDescent="0.25">
      <c r="A22" s="368" t="s">
        <v>19</v>
      </c>
    </row>
    <row r="23" spans="1:18" s="65" customFormat="1" ht="21" customHeight="1" x14ac:dyDescent="0.25">
      <c r="A23" s="369" t="s">
        <v>20</v>
      </c>
    </row>
    <row r="24" spans="1:18" s="65" customFormat="1" ht="21" customHeight="1" x14ac:dyDescent="0.25">
      <c r="A24" s="369" t="s">
        <v>21</v>
      </c>
    </row>
    <row r="25" spans="1:18" s="65" customFormat="1" ht="21" customHeight="1" x14ac:dyDescent="0.25">
      <c r="A25" s="370" t="s">
        <v>22</v>
      </c>
    </row>
    <row r="26" spans="1:18" s="73" customFormat="1" ht="21" customHeight="1" thickBot="1" x14ac:dyDescent="0.3">
      <c r="A26" s="70" t="s">
        <v>23</v>
      </c>
      <c r="B26" s="243"/>
      <c r="C26" s="243"/>
      <c r="D26" s="243"/>
      <c r="E26" s="243"/>
      <c r="F26" s="243"/>
      <c r="G26" s="243"/>
      <c r="H26" s="243"/>
    </row>
    <row r="27" spans="1:18" s="65" customFormat="1" ht="145.5" customHeight="1" x14ac:dyDescent="0.25">
      <c r="A27" s="371" t="s">
        <v>24</v>
      </c>
      <c r="B27" s="242"/>
      <c r="C27" s="242"/>
      <c r="D27" s="242"/>
      <c r="E27" s="242"/>
      <c r="F27" s="242"/>
      <c r="G27" s="242"/>
      <c r="H27" s="242"/>
      <c r="I27" s="242"/>
      <c r="J27" s="242"/>
      <c r="K27" s="242"/>
      <c r="L27" s="242"/>
      <c r="M27" s="242"/>
      <c r="N27" s="242"/>
      <c r="O27" s="242"/>
      <c r="P27" s="242"/>
      <c r="Q27" s="242"/>
      <c r="R27" s="242"/>
    </row>
    <row r="28" spans="1:18" s="65" customFormat="1" ht="21" customHeight="1" x14ac:dyDescent="0.25">
      <c r="A28" s="70" t="s">
        <v>25</v>
      </c>
    </row>
    <row r="29" spans="1:18" s="65" customFormat="1" ht="147.75" customHeight="1" x14ac:dyDescent="0.25">
      <c r="A29" s="372" t="s">
        <v>26</v>
      </c>
      <c r="B29" s="242"/>
      <c r="C29" s="242"/>
      <c r="D29" s="242"/>
      <c r="E29" s="242"/>
      <c r="F29" s="242"/>
      <c r="G29" s="242"/>
      <c r="H29" s="242"/>
    </row>
    <row r="30" spans="1:18" s="65" customFormat="1" ht="38.5" customHeight="1" x14ac:dyDescent="0.25">
      <c r="A30" s="71" t="s">
        <v>27</v>
      </c>
    </row>
    <row r="31" spans="1:18" s="65" customFormat="1" ht="69" customHeight="1" x14ac:dyDescent="0.25">
      <c r="A31" s="71" t="s">
        <v>28</v>
      </c>
    </row>
    <row r="32" spans="1:18" s="69" customFormat="1" ht="51.65" customHeight="1" x14ac:dyDescent="0.25">
      <c r="A32" s="74" t="s">
        <v>29</v>
      </c>
    </row>
    <row r="33" spans="1:1" s="69" customFormat="1" ht="21" customHeight="1" x14ac:dyDescent="0.25">
      <c r="A33" s="75" t="s">
        <v>30</v>
      </c>
    </row>
    <row r="34" spans="1:1" ht="21" customHeight="1" x14ac:dyDescent="0.25">
      <c r="A34" s="76" t="s">
        <v>31</v>
      </c>
    </row>
    <row r="35" spans="1:1" ht="21" customHeight="1" x14ac:dyDescent="0.25">
      <c r="A35" s="76" t="s">
        <v>32</v>
      </c>
    </row>
    <row r="36" spans="1:1" s="65" customFormat="1" ht="21" customHeight="1" x14ac:dyDescent="0.25">
      <c r="A36" s="76" t="s">
        <v>33</v>
      </c>
    </row>
    <row r="37" spans="1:1" s="65" customFormat="1" ht="21" customHeight="1" x14ac:dyDescent="0.25">
      <c r="A37" s="76" t="s">
        <v>34</v>
      </c>
    </row>
    <row r="38" spans="1:1" s="65" customFormat="1" ht="21" customHeight="1" x14ac:dyDescent="0.25">
      <c r="A38" s="76" t="s">
        <v>35</v>
      </c>
    </row>
    <row r="39" spans="1:1" s="65" customFormat="1" ht="21" customHeight="1" x14ac:dyDescent="0.25">
      <c r="A39" s="70" t="s">
        <v>36</v>
      </c>
    </row>
    <row r="40" spans="1:1" s="69" customFormat="1" ht="21" customHeight="1" x14ac:dyDescent="0.25">
      <c r="A40" s="77" t="s">
        <v>37</v>
      </c>
    </row>
    <row r="41" spans="1:1" s="79" customFormat="1" ht="145.4" customHeight="1" x14ac:dyDescent="0.25">
      <c r="A41" s="78" t="s">
        <v>38</v>
      </c>
    </row>
    <row r="42" spans="1:1" s="79" customFormat="1" ht="57.65" customHeight="1" x14ac:dyDescent="0.25">
      <c r="A42" s="78" t="s">
        <v>39</v>
      </c>
    </row>
    <row r="43" spans="1:1" s="79" customFormat="1" ht="64.400000000000006" customHeight="1" x14ac:dyDescent="0.25">
      <c r="A43" s="78" t="s">
        <v>40</v>
      </c>
    </row>
    <row r="44" spans="1:1" s="79" customFormat="1" ht="77.150000000000006" customHeight="1" x14ac:dyDescent="0.25">
      <c r="A44" s="78" t="s">
        <v>41</v>
      </c>
    </row>
    <row r="45" spans="1:1" s="79" customFormat="1" ht="28.4" customHeight="1" x14ac:dyDescent="0.25">
      <c r="A45" s="78" t="s">
        <v>42</v>
      </c>
    </row>
    <row r="46" spans="1:1" s="79" customFormat="1" ht="26.15" customHeight="1" x14ac:dyDescent="0.25">
      <c r="A46" s="80" t="s">
        <v>43</v>
      </c>
    </row>
    <row r="47" spans="1:1" s="79" customFormat="1" ht="36" customHeight="1" x14ac:dyDescent="0.25">
      <c r="A47" s="78" t="s">
        <v>44</v>
      </c>
    </row>
    <row r="48" spans="1:1" s="79" customFormat="1" ht="20.25" customHeight="1" x14ac:dyDescent="0.25">
      <c r="A48" s="78" t="s">
        <v>45</v>
      </c>
    </row>
    <row r="49" spans="1:1" s="79" customFormat="1" ht="21.65" customHeight="1" x14ac:dyDescent="0.25">
      <c r="A49" s="78" t="s">
        <v>46</v>
      </c>
    </row>
    <row r="50" spans="1:1" s="79" customFormat="1" ht="24.65" customHeight="1" x14ac:dyDescent="0.25">
      <c r="A50" s="80" t="s">
        <v>47</v>
      </c>
    </row>
    <row r="51" spans="1:1" s="79" customFormat="1" ht="17.5" customHeight="1" x14ac:dyDescent="0.25">
      <c r="A51" s="80" t="s">
        <v>48</v>
      </c>
    </row>
    <row r="52" spans="1:1" s="79" customFormat="1" ht="35.15" customHeight="1" x14ac:dyDescent="0.25">
      <c r="A52" s="80" t="s">
        <v>49</v>
      </c>
    </row>
    <row r="53" spans="1:1" s="79" customFormat="1" ht="57" customHeight="1" x14ac:dyDescent="0.25">
      <c r="A53" s="80" t="s">
        <v>50</v>
      </c>
    </row>
    <row r="54" spans="1:1" s="79" customFormat="1" ht="62.15" customHeight="1" x14ac:dyDescent="0.25">
      <c r="A54" s="80" t="s">
        <v>51</v>
      </c>
    </row>
    <row r="55" spans="1:1" s="79" customFormat="1" ht="107.15" customHeight="1" x14ac:dyDescent="0.25">
      <c r="A55" s="80" t="s">
        <v>52</v>
      </c>
    </row>
    <row r="56" spans="1:1" s="79" customFormat="1" ht="63" customHeight="1" x14ac:dyDescent="0.25">
      <c r="A56" s="80" t="s">
        <v>53</v>
      </c>
    </row>
    <row r="57" spans="1:1" s="79" customFormat="1" ht="24" customHeight="1" x14ac:dyDescent="0.25">
      <c r="A57" s="80" t="s">
        <v>54</v>
      </c>
    </row>
    <row r="58" spans="1:1" s="79" customFormat="1" ht="23.15" customHeight="1" x14ac:dyDescent="0.25">
      <c r="A58" s="80" t="s">
        <v>55</v>
      </c>
    </row>
    <row r="59" spans="1:1" s="65" customFormat="1" ht="87" x14ac:dyDescent="0.25">
      <c r="A59" s="80" t="s">
        <v>56</v>
      </c>
    </row>
    <row r="60" spans="1:1" s="65" customFormat="1" ht="51.65" customHeight="1" x14ac:dyDescent="0.25">
      <c r="A60" s="80" t="s">
        <v>57</v>
      </c>
    </row>
    <row r="61" spans="1:1" s="65" customFormat="1" ht="89.5" customHeight="1" x14ac:dyDescent="0.25">
      <c r="A61" s="80" t="s">
        <v>58</v>
      </c>
    </row>
    <row r="62" spans="1:1" s="65" customFormat="1" ht="32.5" customHeight="1" x14ac:dyDescent="0.25">
      <c r="A62" s="80" t="s">
        <v>59</v>
      </c>
    </row>
    <row r="63" spans="1:1" hidden="1" x14ac:dyDescent="0.25">
      <c r="A63" s="81"/>
    </row>
    <row r="64" spans="1:1" hidden="1" x14ac:dyDescent="0.25">
      <c r="A64" s="81"/>
    </row>
    <row r="65" spans="1:1" hidden="1" x14ac:dyDescent="0.25">
      <c r="A65" s="81"/>
    </row>
    <row r="66" spans="1:1" s="103" customForma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E10" sqref="E10"/>
    </sheetView>
  </sheetViews>
  <sheetFormatPr defaultRowHeight="12.5" x14ac:dyDescent="0.25"/>
  <cols>
    <col min="1" max="1" width="40" bestFit="1" customWidth="1"/>
  </cols>
  <sheetData>
    <row r="1" spans="1:1" ht="13" x14ac:dyDescent="0.3">
      <c r="A1" s="316" t="s">
        <v>235</v>
      </c>
    </row>
    <row r="2" spans="1:1" ht="15.5" x14ac:dyDescent="0.25">
      <c r="A2" s="314" t="s">
        <v>236</v>
      </c>
    </row>
    <row r="3" spans="1:1" ht="15.5" x14ac:dyDescent="0.25">
      <c r="A3" s="193" t="s">
        <v>237</v>
      </c>
    </row>
    <row r="4" spans="1:1" ht="15.5" x14ac:dyDescent="0.25">
      <c r="A4" s="314" t="s">
        <v>238</v>
      </c>
    </row>
    <row r="5" spans="1:1" ht="15.5" x14ac:dyDescent="0.25">
      <c r="A5" s="314" t="s">
        <v>239</v>
      </c>
    </row>
    <row r="6" spans="1:1" ht="15.5" x14ac:dyDescent="0.25">
      <c r="A6" s="313" t="s">
        <v>240</v>
      </c>
    </row>
    <row r="7" spans="1:1" ht="15.5" x14ac:dyDescent="0.25">
      <c r="A7" s="314" t="s">
        <v>241</v>
      </c>
    </row>
    <row r="8" spans="1:1" ht="15.5" x14ac:dyDescent="0.25">
      <c r="A8" s="315" t="s">
        <v>242</v>
      </c>
    </row>
    <row r="9" spans="1:1" ht="15.5" x14ac:dyDescent="0.25">
      <c r="A9" s="315" t="s">
        <v>243</v>
      </c>
    </row>
    <row r="10" spans="1:1" ht="15.5" x14ac:dyDescent="0.35">
      <c r="A10" s="317" t="s">
        <v>244</v>
      </c>
    </row>
    <row r="11" spans="1:1" ht="15.5" x14ac:dyDescent="0.35">
      <c r="A11" s="317" t="s">
        <v>245</v>
      </c>
    </row>
    <row r="12" spans="1:1" ht="15.5" x14ac:dyDescent="0.25">
      <c r="A12" s="315" t="s">
        <v>246</v>
      </c>
    </row>
    <row r="13" spans="1:1" ht="15.5" x14ac:dyDescent="0.25">
      <c r="A13" s="315" t="s">
        <v>247</v>
      </c>
    </row>
    <row r="14" spans="1:1" ht="15.5" x14ac:dyDescent="0.25">
      <c r="A14" s="315" t="s">
        <v>248</v>
      </c>
    </row>
    <row r="15" spans="1:1" ht="15.5" x14ac:dyDescent="0.25">
      <c r="A15" s="193" t="s">
        <v>249</v>
      </c>
    </row>
    <row r="16" spans="1:1" ht="15.5" x14ac:dyDescent="0.25">
      <c r="A16" s="193" t="s">
        <v>250</v>
      </c>
    </row>
  </sheetData>
  <sortState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1" customFormat="1" ht="20.149999999999999" customHeight="1" x14ac:dyDescent="0.45">
      <c r="A1" s="426" t="str">
        <f>'Institution ID'!A1</f>
        <v>Six-Year Plans (2023): 2024-25 through 2029-30</v>
      </c>
      <c r="B1" s="426"/>
      <c r="C1" s="426"/>
      <c r="D1" s="426"/>
      <c r="E1" s="426"/>
      <c r="F1" s="426"/>
      <c r="G1" s="426"/>
      <c r="H1" s="426"/>
      <c r="I1" s="9"/>
      <c r="J1" s="8"/>
      <c r="K1" s="8"/>
      <c r="L1" s="8"/>
      <c r="M1" s="8"/>
    </row>
    <row r="2" spans="1:13" s="1" customFormat="1" ht="20.149999999999999" customHeight="1" x14ac:dyDescent="0.25">
      <c r="A2" s="374" t="str">
        <f>'Institution ID'!C3</f>
        <v>Longwood University</v>
      </c>
      <c r="B2" s="31"/>
      <c r="C2" s="31"/>
      <c r="D2" s="31"/>
      <c r="E2" s="31"/>
      <c r="F2" s="31"/>
      <c r="G2" s="31"/>
      <c r="H2" s="31"/>
      <c r="I2" s="31"/>
      <c r="J2" s="8"/>
      <c r="K2" s="8"/>
      <c r="L2" s="8"/>
      <c r="M2" s="8"/>
    </row>
    <row r="3" spans="1:13" ht="20.149999999999999" customHeight="1" x14ac:dyDescent="0.25">
      <c r="A3" s="30" t="s">
        <v>251</v>
      </c>
      <c r="B3" s="30"/>
      <c r="C3" s="30"/>
      <c r="D3" s="30"/>
      <c r="E3" s="30"/>
      <c r="F3" s="30"/>
      <c r="G3" s="30"/>
      <c r="H3" s="30"/>
      <c r="I3" s="30"/>
    </row>
    <row r="4" spans="1:13" ht="20.149999999999999" customHeight="1" x14ac:dyDescent="0.25">
      <c r="A4" s="30" t="s">
        <v>252</v>
      </c>
      <c r="B4" s="30"/>
      <c r="C4" s="30"/>
      <c r="D4" s="30"/>
      <c r="E4" s="30"/>
      <c r="F4" s="30"/>
      <c r="G4" s="30"/>
      <c r="H4" s="30"/>
      <c r="I4" s="30"/>
    </row>
    <row r="5" spans="1:13" ht="20.149999999999999" customHeight="1" thickBot="1" x14ac:dyDescent="0.4">
      <c r="A5" s="11"/>
      <c r="B5" s="11"/>
      <c r="C5" s="11"/>
      <c r="D5" s="11"/>
      <c r="E5" s="11"/>
      <c r="F5" s="11"/>
      <c r="G5" s="11"/>
      <c r="H5" s="11"/>
      <c r="I5" s="11"/>
    </row>
    <row r="6" spans="1:13" s="12" customFormat="1" ht="20.149999999999999" customHeight="1" x14ac:dyDescent="0.25">
      <c r="A6" s="534" t="s">
        <v>253</v>
      </c>
      <c r="B6" s="535"/>
      <c r="C6" s="535"/>
      <c r="D6" s="535"/>
      <c r="E6" s="535"/>
      <c r="F6" s="535"/>
      <c r="G6" s="535"/>
      <c r="H6" s="536"/>
      <c r="I6" s="15"/>
    </row>
    <row r="7" spans="1:13" s="1" customFormat="1" ht="20.149999999999999" customHeight="1" x14ac:dyDescent="0.25">
      <c r="A7" s="537" t="s">
        <v>254</v>
      </c>
      <c r="B7" s="538"/>
      <c r="C7" s="538"/>
      <c r="D7" s="538"/>
      <c r="E7" s="538"/>
      <c r="F7" s="538"/>
      <c r="G7" s="538"/>
      <c r="H7" s="539"/>
    </row>
    <row r="8" spans="1:13" s="1" customFormat="1" ht="20.149999999999999" customHeight="1" x14ac:dyDescent="0.25">
      <c r="A8" s="518" t="s">
        <v>255</v>
      </c>
      <c r="B8" s="518" t="s">
        <v>256</v>
      </c>
      <c r="C8" s="518"/>
      <c r="D8" s="518"/>
      <c r="E8" s="518" t="s">
        <v>257</v>
      </c>
      <c r="F8" s="518"/>
      <c r="G8" s="518"/>
      <c r="H8" s="545" t="s">
        <v>149</v>
      </c>
    </row>
    <row r="9" spans="1:13" s="1" customFormat="1" ht="20.149999999999999" customHeight="1" x14ac:dyDescent="0.25">
      <c r="A9" s="542"/>
      <c r="B9" s="379" t="s">
        <v>258</v>
      </c>
      <c r="C9" s="379" t="s">
        <v>259</v>
      </c>
      <c r="D9" s="379" t="s">
        <v>149</v>
      </c>
      <c r="E9" s="379" t="s">
        <v>258</v>
      </c>
      <c r="F9" s="379" t="s">
        <v>259</v>
      </c>
      <c r="G9" s="379" t="s">
        <v>149</v>
      </c>
      <c r="H9" s="546"/>
    </row>
    <row r="10" spans="1:13" s="1" customFormat="1" ht="20.149999999999999" customHeight="1" x14ac:dyDescent="0.25">
      <c r="A10" s="21" t="s">
        <v>141</v>
      </c>
      <c r="B10" s="13">
        <v>206500</v>
      </c>
      <c r="C10" s="13">
        <v>58002</v>
      </c>
      <c r="D10" s="14">
        <f>B10+C10</f>
        <v>264502</v>
      </c>
      <c r="E10" s="13">
        <v>73902</v>
      </c>
      <c r="F10" s="13">
        <v>19763</v>
      </c>
      <c r="G10" s="18">
        <f>E10+F10</f>
        <v>93665</v>
      </c>
      <c r="H10" s="20">
        <f>SUM(D10,G10)</f>
        <v>358167</v>
      </c>
    </row>
    <row r="11" spans="1:13" s="1" customFormat="1" ht="20.149999999999999" customHeight="1" x14ac:dyDescent="0.25">
      <c r="A11" s="380" t="s">
        <v>260</v>
      </c>
      <c r="B11" s="13">
        <v>0</v>
      </c>
      <c r="C11" s="13">
        <v>0</v>
      </c>
      <c r="D11" s="14">
        <f>B11+C11</f>
        <v>0</v>
      </c>
      <c r="E11" s="13">
        <v>0</v>
      </c>
      <c r="F11" s="13">
        <v>0</v>
      </c>
      <c r="G11" s="18">
        <f>E11+F11</f>
        <v>0</v>
      </c>
      <c r="H11" s="20">
        <f>SUM(D11,G11)</f>
        <v>0</v>
      </c>
    </row>
    <row r="12" spans="1:13" s="1" customFormat="1" ht="20.149999999999999" customHeight="1" x14ac:dyDescent="0.25">
      <c r="A12" s="380" t="s">
        <v>261</v>
      </c>
      <c r="B12" s="114">
        <v>0</v>
      </c>
      <c r="C12" s="114">
        <v>0</v>
      </c>
      <c r="D12" s="115">
        <f t="shared" ref="D12:D25" si="0">B12+C12</f>
        <v>0</v>
      </c>
      <c r="E12" s="114">
        <v>830621</v>
      </c>
      <c r="F12" s="114">
        <v>19920</v>
      </c>
      <c r="G12" s="19">
        <f t="shared" ref="G12:G25" si="1">E12+F12</f>
        <v>850541</v>
      </c>
      <c r="H12" s="20">
        <f t="shared" ref="H12:H25" si="2">SUM(D12,G12)</f>
        <v>850541</v>
      </c>
    </row>
    <row r="13" spans="1:13" s="1" customFormat="1" ht="20.149999999999999" customHeight="1" x14ac:dyDescent="0.25">
      <c r="A13" s="380" t="s">
        <v>262</v>
      </c>
      <c r="B13" s="114">
        <v>0</v>
      </c>
      <c r="C13" s="114">
        <v>0</v>
      </c>
      <c r="D13" s="115">
        <f t="shared" si="0"/>
        <v>0</v>
      </c>
      <c r="E13" s="114">
        <v>38052</v>
      </c>
      <c r="F13" s="114">
        <v>0</v>
      </c>
      <c r="G13" s="19">
        <f t="shared" si="1"/>
        <v>38052</v>
      </c>
      <c r="H13" s="20">
        <f t="shared" si="2"/>
        <v>38052</v>
      </c>
    </row>
    <row r="14" spans="1:13" s="1" customFormat="1" ht="20.149999999999999" customHeight="1" x14ac:dyDescent="0.25">
      <c r="A14" s="28" t="s">
        <v>263</v>
      </c>
      <c r="B14" s="116"/>
      <c r="C14" s="116"/>
      <c r="D14" s="116"/>
      <c r="E14" s="116"/>
      <c r="F14" s="116"/>
      <c r="G14" s="29"/>
      <c r="H14" s="29"/>
    </row>
    <row r="15" spans="1:13" s="1" customFormat="1" ht="20.149999999999999" customHeight="1" x14ac:dyDescent="0.25">
      <c r="A15" s="380" t="s">
        <v>264</v>
      </c>
      <c r="B15" s="114">
        <v>0</v>
      </c>
      <c r="C15" s="114">
        <v>0</v>
      </c>
      <c r="D15" s="115">
        <f t="shared" si="0"/>
        <v>0</v>
      </c>
      <c r="E15" s="114">
        <v>0</v>
      </c>
      <c r="F15" s="114">
        <v>0</v>
      </c>
      <c r="G15" s="19">
        <f t="shared" si="1"/>
        <v>0</v>
      </c>
      <c r="H15" s="20">
        <f t="shared" si="2"/>
        <v>0</v>
      </c>
    </row>
    <row r="16" spans="1:13" s="1" customFormat="1" ht="20.149999999999999" customHeight="1" x14ac:dyDescent="0.25">
      <c r="A16" s="380" t="s">
        <v>265</v>
      </c>
      <c r="B16" s="116"/>
      <c r="C16" s="116"/>
      <c r="D16" s="116"/>
      <c r="E16" s="116"/>
      <c r="F16" s="116"/>
      <c r="G16" s="29"/>
      <c r="H16" s="29"/>
    </row>
    <row r="17" spans="1:8" s="1" customFormat="1" ht="20.149999999999999" customHeight="1" x14ac:dyDescent="0.25">
      <c r="A17" s="380" t="s">
        <v>266</v>
      </c>
      <c r="B17" s="114">
        <v>0</v>
      </c>
      <c r="C17" s="114">
        <v>0</v>
      </c>
      <c r="D17" s="115">
        <f t="shared" si="0"/>
        <v>0</v>
      </c>
      <c r="E17" s="114">
        <v>0</v>
      </c>
      <c r="F17" s="114">
        <v>0</v>
      </c>
      <c r="G17" s="19">
        <f t="shared" si="1"/>
        <v>0</v>
      </c>
      <c r="H17" s="20">
        <f t="shared" si="2"/>
        <v>0</v>
      </c>
    </row>
    <row r="18" spans="1:8" s="1" customFormat="1" ht="20.149999999999999" customHeight="1" x14ac:dyDescent="0.25">
      <c r="A18" s="380" t="s">
        <v>267</v>
      </c>
      <c r="B18" s="114">
        <v>0</v>
      </c>
      <c r="C18" s="114">
        <v>0</v>
      </c>
      <c r="D18" s="115">
        <f t="shared" si="0"/>
        <v>0</v>
      </c>
      <c r="E18" s="114">
        <v>0</v>
      </c>
      <c r="F18" s="114">
        <v>0</v>
      </c>
      <c r="G18" s="19">
        <f t="shared" si="1"/>
        <v>0</v>
      </c>
      <c r="H18" s="20">
        <f t="shared" si="2"/>
        <v>0</v>
      </c>
    </row>
    <row r="19" spans="1:8" s="1" customFormat="1" ht="20.149999999999999" customHeight="1" x14ac:dyDescent="0.25">
      <c r="A19" s="380" t="s">
        <v>268</v>
      </c>
      <c r="B19" s="114">
        <v>0</v>
      </c>
      <c r="C19" s="114">
        <v>0</v>
      </c>
      <c r="D19" s="115">
        <f t="shared" si="0"/>
        <v>0</v>
      </c>
      <c r="E19" s="114">
        <v>0</v>
      </c>
      <c r="F19" s="114">
        <v>0</v>
      </c>
      <c r="G19" s="19">
        <f t="shared" si="1"/>
        <v>0</v>
      </c>
      <c r="H19" s="20">
        <f t="shared" si="2"/>
        <v>0</v>
      </c>
    </row>
    <row r="20" spans="1:8" s="1" customFormat="1" ht="20.149999999999999" customHeight="1" x14ac:dyDescent="0.25">
      <c r="A20" s="380" t="s">
        <v>269</v>
      </c>
      <c r="B20" s="114">
        <v>0</v>
      </c>
      <c r="C20" s="114">
        <v>0</v>
      </c>
      <c r="D20" s="115">
        <f t="shared" si="0"/>
        <v>0</v>
      </c>
      <c r="E20" s="114">
        <v>16913</v>
      </c>
      <c r="F20" s="114">
        <v>0</v>
      </c>
      <c r="G20" s="19">
        <f t="shared" si="1"/>
        <v>16913</v>
      </c>
      <c r="H20" s="20">
        <f t="shared" si="2"/>
        <v>16913</v>
      </c>
    </row>
    <row r="21" spans="1:8" s="1" customFormat="1" ht="20.149999999999999" customHeight="1" x14ac:dyDescent="0.25">
      <c r="A21" s="380" t="s">
        <v>270</v>
      </c>
      <c r="B21" s="114">
        <v>32682</v>
      </c>
      <c r="C21" s="114">
        <v>0</v>
      </c>
      <c r="D21" s="115">
        <f t="shared" si="0"/>
        <v>32682</v>
      </c>
      <c r="E21" s="114">
        <v>0</v>
      </c>
      <c r="F21" s="114">
        <v>0</v>
      </c>
      <c r="G21" s="19">
        <f t="shared" si="1"/>
        <v>0</v>
      </c>
      <c r="H21" s="20">
        <f t="shared" si="2"/>
        <v>32682</v>
      </c>
    </row>
    <row r="22" spans="1:8" s="1" customFormat="1" ht="20.149999999999999" customHeight="1" x14ac:dyDescent="0.25">
      <c r="A22" s="380" t="s">
        <v>271</v>
      </c>
      <c r="B22" s="114">
        <v>0</v>
      </c>
      <c r="C22" s="114">
        <v>0</v>
      </c>
      <c r="D22" s="115">
        <f t="shared" si="0"/>
        <v>0</v>
      </c>
      <c r="E22" s="114">
        <v>0</v>
      </c>
      <c r="F22" s="114">
        <v>0</v>
      </c>
      <c r="G22" s="19">
        <f t="shared" si="1"/>
        <v>0</v>
      </c>
      <c r="H22" s="20">
        <f t="shared" si="2"/>
        <v>0</v>
      </c>
    </row>
    <row r="23" spans="1:8" s="1" customFormat="1" ht="20.149999999999999" customHeight="1" x14ac:dyDescent="0.25">
      <c r="A23" s="380" t="s">
        <v>272</v>
      </c>
      <c r="B23" s="114">
        <v>120156</v>
      </c>
      <c r="C23" s="114">
        <v>0</v>
      </c>
      <c r="D23" s="115">
        <f t="shared" si="0"/>
        <v>120156</v>
      </c>
      <c r="E23" s="114">
        <v>0</v>
      </c>
      <c r="F23" s="114">
        <v>0</v>
      </c>
      <c r="G23" s="19">
        <f t="shared" si="1"/>
        <v>0</v>
      </c>
      <c r="H23" s="20">
        <f t="shared" si="2"/>
        <v>120156</v>
      </c>
    </row>
    <row r="24" spans="1:8" s="1" customFormat="1" ht="20.149999999999999" customHeight="1" x14ac:dyDescent="0.25">
      <c r="A24" s="380" t="s">
        <v>273</v>
      </c>
      <c r="B24" s="114">
        <v>16341</v>
      </c>
      <c r="C24" s="114">
        <v>4520</v>
      </c>
      <c r="D24" s="115">
        <f t="shared" ref="D24" si="3">B24+C24</f>
        <v>20861</v>
      </c>
      <c r="E24" s="114">
        <v>9648</v>
      </c>
      <c r="F24" s="114">
        <v>0</v>
      </c>
      <c r="G24" s="19">
        <f t="shared" ref="G24" si="4">E24+F24</f>
        <v>9648</v>
      </c>
      <c r="H24" s="20">
        <f t="shared" ref="H24" si="5">SUM(D24,G24)</f>
        <v>30509</v>
      </c>
    </row>
    <row r="25" spans="1:8" s="1" customFormat="1" ht="20.149999999999999" customHeight="1" x14ac:dyDescent="0.25">
      <c r="A25" s="380" t="s">
        <v>274</v>
      </c>
      <c r="B25" s="114">
        <v>0</v>
      </c>
      <c r="C25" s="114">
        <v>0</v>
      </c>
      <c r="D25" s="115">
        <f t="shared" si="0"/>
        <v>0</v>
      </c>
      <c r="E25" s="114">
        <v>0</v>
      </c>
      <c r="F25" s="114">
        <v>16480</v>
      </c>
      <c r="G25" s="19">
        <f t="shared" si="1"/>
        <v>16480</v>
      </c>
      <c r="H25" s="20">
        <f t="shared" si="2"/>
        <v>16480</v>
      </c>
    </row>
    <row r="26" spans="1:8" s="1" customFormat="1" ht="20.149999999999999" customHeight="1" thickBot="1" x14ac:dyDescent="0.3">
      <c r="A26" s="16" t="s">
        <v>149</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49999999999999" customHeight="1" thickBot="1" x14ac:dyDescent="0.3">
      <c r="A27" s="540"/>
      <c r="B27" s="541"/>
      <c r="C27" s="541"/>
      <c r="D27" s="541"/>
      <c r="E27" s="541"/>
      <c r="F27" s="541"/>
      <c r="G27" s="541"/>
      <c r="H27" s="541"/>
    </row>
    <row r="28" spans="1:8" s="1" customFormat="1" ht="20.149999999999999" customHeight="1" x14ac:dyDescent="0.25">
      <c r="A28" s="548" t="s">
        <v>275</v>
      </c>
      <c r="B28" s="549"/>
      <c r="C28" s="549"/>
      <c r="D28" s="549"/>
      <c r="E28" s="549"/>
      <c r="F28" s="549"/>
      <c r="G28" s="549"/>
      <c r="H28" s="550"/>
    </row>
    <row r="29" spans="1:8" s="1" customFormat="1" ht="20.149999999999999" customHeight="1" x14ac:dyDescent="0.25">
      <c r="A29" s="543" t="s">
        <v>255</v>
      </c>
      <c r="B29" s="518" t="s">
        <v>256</v>
      </c>
      <c r="C29" s="518"/>
      <c r="D29" s="518"/>
      <c r="E29" s="518" t="s">
        <v>257</v>
      </c>
      <c r="F29" s="518"/>
      <c r="G29" s="518"/>
      <c r="H29" s="539" t="s">
        <v>149</v>
      </c>
    </row>
    <row r="30" spans="1:8" s="1" customFormat="1" ht="20.149999999999999" customHeight="1" thickBot="1" x14ac:dyDescent="0.3">
      <c r="A30" s="544"/>
      <c r="B30" s="379" t="s">
        <v>258</v>
      </c>
      <c r="C30" s="379" t="s">
        <v>259</v>
      </c>
      <c r="D30" s="379" t="s">
        <v>149</v>
      </c>
      <c r="E30" s="379" t="s">
        <v>258</v>
      </c>
      <c r="F30" s="379" t="s">
        <v>259</v>
      </c>
      <c r="G30" s="379" t="s">
        <v>149</v>
      </c>
      <c r="H30" s="547"/>
    </row>
    <row r="31" spans="1:8" s="1" customFormat="1" ht="20.149999999999999" customHeight="1" x14ac:dyDescent="0.25">
      <c r="A31" s="21" t="s">
        <v>141</v>
      </c>
      <c r="B31" s="13">
        <v>342500</v>
      </c>
      <c r="C31" s="13">
        <v>76070</v>
      </c>
      <c r="D31" s="14">
        <f>B31+C31</f>
        <v>418570</v>
      </c>
      <c r="E31" s="13">
        <v>27845</v>
      </c>
      <c r="F31" s="13">
        <v>11470</v>
      </c>
      <c r="G31" s="18">
        <f>E31+F31</f>
        <v>39315</v>
      </c>
      <c r="H31" s="20">
        <f>SUM(D31,G31)</f>
        <v>457885</v>
      </c>
    </row>
    <row r="32" spans="1:8" s="1" customFormat="1" ht="20.149999999999999" customHeight="1" x14ac:dyDescent="0.25">
      <c r="A32" s="380" t="s">
        <v>260</v>
      </c>
      <c r="B32" s="13">
        <v>0</v>
      </c>
      <c r="C32" s="13">
        <v>0</v>
      </c>
      <c r="D32" s="14">
        <f>B32+C32</f>
        <v>0</v>
      </c>
      <c r="E32" s="13">
        <v>0</v>
      </c>
      <c r="F32" s="13">
        <v>0</v>
      </c>
      <c r="G32" s="18">
        <f>E32+F32</f>
        <v>0</v>
      </c>
      <c r="H32" s="20">
        <f>SUM(D32,G32)</f>
        <v>0</v>
      </c>
    </row>
    <row r="33" spans="1:8" s="1" customFormat="1" ht="20.149999999999999" customHeight="1" x14ac:dyDescent="0.25">
      <c r="A33" s="380" t="s">
        <v>261</v>
      </c>
      <c r="B33" s="114">
        <v>0</v>
      </c>
      <c r="C33" s="114">
        <v>0</v>
      </c>
      <c r="D33" s="115">
        <f t="shared" ref="D33:D34" si="7">B33+C33</f>
        <v>0</v>
      </c>
      <c r="E33" s="114">
        <v>920700</v>
      </c>
      <c r="F33" s="114">
        <v>0</v>
      </c>
      <c r="G33" s="19">
        <f t="shared" ref="G33:G34" si="8">E33+F33</f>
        <v>920700</v>
      </c>
      <c r="H33" s="20">
        <f t="shared" ref="H33:H34" si="9">SUM(D33,G33)</f>
        <v>920700</v>
      </c>
    </row>
    <row r="34" spans="1:8" s="1" customFormat="1" ht="20.149999999999999" customHeight="1" x14ac:dyDescent="0.25">
      <c r="A34" s="380" t="s">
        <v>262</v>
      </c>
      <c r="B34" s="114">
        <v>0</v>
      </c>
      <c r="C34" s="114">
        <v>0</v>
      </c>
      <c r="D34" s="115">
        <f t="shared" si="7"/>
        <v>0</v>
      </c>
      <c r="E34" s="114">
        <v>19800</v>
      </c>
      <c r="F34" s="114">
        <v>0</v>
      </c>
      <c r="G34" s="19">
        <f t="shared" si="8"/>
        <v>19800</v>
      </c>
      <c r="H34" s="20">
        <f t="shared" si="9"/>
        <v>19800</v>
      </c>
    </row>
    <row r="35" spans="1:8" s="1" customFormat="1" ht="20.149999999999999" customHeight="1" x14ac:dyDescent="0.25">
      <c r="A35" s="28" t="s">
        <v>263</v>
      </c>
      <c r="B35" s="116"/>
      <c r="C35" s="116"/>
      <c r="D35" s="116"/>
      <c r="E35" s="116"/>
      <c r="F35" s="116"/>
      <c r="G35" s="29"/>
      <c r="H35" s="29"/>
    </row>
    <row r="36" spans="1:8" s="1" customFormat="1" ht="20.149999999999999" customHeight="1" x14ac:dyDescent="0.25">
      <c r="A36" s="380" t="s">
        <v>264</v>
      </c>
      <c r="B36" s="114">
        <v>0</v>
      </c>
      <c r="C36" s="114">
        <v>0</v>
      </c>
      <c r="D36" s="115">
        <f t="shared" ref="D36" si="10">B36+C36</f>
        <v>0</v>
      </c>
      <c r="E36" s="114">
        <v>0</v>
      </c>
      <c r="F36" s="114">
        <v>0</v>
      </c>
      <c r="G36" s="19">
        <f t="shared" ref="G36" si="11">E36+F36</f>
        <v>0</v>
      </c>
      <c r="H36" s="20">
        <f t="shared" ref="H36" si="12">SUM(D36,G36)</f>
        <v>0</v>
      </c>
    </row>
    <row r="37" spans="1:8" s="1" customFormat="1" ht="20.149999999999999" customHeight="1" x14ac:dyDescent="0.25">
      <c r="A37" s="380" t="s">
        <v>265</v>
      </c>
      <c r="B37" s="114">
        <v>0</v>
      </c>
      <c r="C37" s="114">
        <v>0</v>
      </c>
      <c r="D37" s="115">
        <f t="shared" ref="D37" si="13">B37+C37</f>
        <v>0</v>
      </c>
      <c r="E37" s="114">
        <v>0</v>
      </c>
      <c r="F37" s="114">
        <v>0</v>
      </c>
      <c r="G37" s="19">
        <f t="shared" ref="G37" si="14">E37+F37</f>
        <v>0</v>
      </c>
      <c r="H37" s="20">
        <f t="shared" ref="H37" si="15">SUM(D37,G37)</f>
        <v>0</v>
      </c>
    </row>
    <row r="38" spans="1:8" s="1" customFormat="1" ht="20.149999999999999" customHeight="1" x14ac:dyDescent="0.25">
      <c r="A38" s="380" t="s">
        <v>266</v>
      </c>
      <c r="B38" s="114">
        <v>0</v>
      </c>
      <c r="C38" s="114">
        <v>0</v>
      </c>
      <c r="D38" s="115">
        <f t="shared" ref="D38:D46" si="16">B38+C38</f>
        <v>0</v>
      </c>
      <c r="E38" s="114">
        <v>0</v>
      </c>
      <c r="F38" s="114">
        <v>0</v>
      </c>
      <c r="G38" s="19">
        <f t="shared" ref="G38:G46" si="17">E38+F38</f>
        <v>0</v>
      </c>
      <c r="H38" s="20">
        <f t="shared" ref="H38:H46" si="18">SUM(D38,G38)</f>
        <v>0</v>
      </c>
    </row>
    <row r="39" spans="1:8" s="1" customFormat="1" ht="20.149999999999999" customHeight="1" x14ac:dyDescent="0.25">
      <c r="A39" s="380" t="s">
        <v>267</v>
      </c>
      <c r="B39" s="114">
        <v>0</v>
      </c>
      <c r="C39" s="114">
        <v>0</v>
      </c>
      <c r="D39" s="115">
        <f t="shared" si="16"/>
        <v>0</v>
      </c>
      <c r="E39" s="114">
        <v>0</v>
      </c>
      <c r="F39" s="114">
        <v>0</v>
      </c>
      <c r="G39" s="19">
        <f t="shared" si="17"/>
        <v>0</v>
      </c>
      <c r="H39" s="20">
        <f t="shared" si="18"/>
        <v>0</v>
      </c>
    </row>
    <row r="40" spans="1:8" s="1" customFormat="1" ht="20.149999999999999" customHeight="1" x14ac:dyDescent="0.25">
      <c r="A40" s="380" t="s">
        <v>268</v>
      </c>
      <c r="B40" s="114">
        <v>0</v>
      </c>
      <c r="C40" s="114">
        <v>0</v>
      </c>
      <c r="D40" s="115">
        <f t="shared" si="16"/>
        <v>0</v>
      </c>
      <c r="E40" s="114">
        <v>0</v>
      </c>
      <c r="F40" s="114">
        <v>0</v>
      </c>
      <c r="G40" s="19">
        <f t="shared" si="17"/>
        <v>0</v>
      </c>
      <c r="H40" s="20">
        <f t="shared" si="18"/>
        <v>0</v>
      </c>
    </row>
    <row r="41" spans="1:8" s="1" customFormat="1" ht="20.149999999999999" customHeight="1" x14ac:dyDescent="0.25">
      <c r="A41" s="380" t="s">
        <v>269</v>
      </c>
      <c r="B41" s="114">
        <v>0</v>
      </c>
      <c r="C41" s="114">
        <v>0</v>
      </c>
      <c r="D41" s="115">
        <f t="shared" si="16"/>
        <v>0</v>
      </c>
      <c r="E41" s="114">
        <v>0</v>
      </c>
      <c r="F41" s="114">
        <v>0</v>
      </c>
      <c r="G41" s="19">
        <f t="shared" si="17"/>
        <v>0</v>
      </c>
      <c r="H41" s="20">
        <f t="shared" si="18"/>
        <v>0</v>
      </c>
    </row>
    <row r="42" spans="1:8" s="1" customFormat="1" ht="20.149999999999999" customHeight="1" x14ac:dyDescent="0.25">
      <c r="A42" s="380" t="s">
        <v>270</v>
      </c>
      <c r="B42" s="114">
        <v>42885</v>
      </c>
      <c r="C42" s="114">
        <v>0</v>
      </c>
      <c r="D42" s="115">
        <f t="shared" si="16"/>
        <v>42885</v>
      </c>
      <c r="E42" s="114">
        <v>0</v>
      </c>
      <c r="F42" s="114">
        <v>0</v>
      </c>
      <c r="G42" s="19">
        <f t="shared" si="17"/>
        <v>0</v>
      </c>
      <c r="H42" s="20">
        <f t="shared" si="18"/>
        <v>42885</v>
      </c>
    </row>
    <row r="43" spans="1:8" s="1" customFormat="1" ht="20.149999999999999" customHeight="1" x14ac:dyDescent="0.25">
      <c r="A43" s="380" t="s">
        <v>271</v>
      </c>
      <c r="B43" s="114">
        <v>0</v>
      </c>
      <c r="C43" s="114">
        <v>0</v>
      </c>
      <c r="D43" s="115">
        <f t="shared" si="16"/>
        <v>0</v>
      </c>
      <c r="E43" s="114">
        <v>0</v>
      </c>
      <c r="F43" s="114">
        <v>0</v>
      </c>
      <c r="G43" s="19">
        <f t="shared" si="17"/>
        <v>0</v>
      </c>
      <c r="H43" s="20">
        <f t="shared" si="18"/>
        <v>0</v>
      </c>
    </row>
    <row r="44" spans="1:8" s="1" customFormat="1" ht="20.149999999999999" customHeight="1" x14ac:dyDescent="0.25">
      <c r="A44" s="380" t="s">
        <v>272</v>
      </c>
      <c r="B44" s="114">
        <v>90301</v>
      </c>
      <c r="C44" s="114">
        <v>0</v>
      </c>
      <c r="D44" s="115">
        <f t="shared" si="16"/>
        <v>90301</v>
      </c>
      <c r="E44" s="114">
        <v>0</v>
      </c>
      <c r="F44" s="114">
        <v>0</v>
      </c>
      <c r="G44" s="19">
        <f t="shared" si="17"/>
        <v>0</v>
      </c>
      <c r="H44" s="20">
        <f t="shared" si="18"/>
        <v>90301</v>
      </c>
    </row>
    <row r="45" spans="1:8" s="1" customFormat="1" ht="20.149999999999999" customHeight="1" x14ac:dyDescent="0.25">
      <c r="A45" s="380" t="s">
        <v>273</v>
      </c>
      <c r="B45" s="114">
        <v>10536</v>
      </c>
      <c r="C45" s="114">
        <v>0</v>
      </c>
      <c r="D45" s="115">
        <f t="shared" si="16"/>
        <v>10536</v>
      </c>
      <c r="E45" s="114">
        <v>2517</v>
      </c>
      <c r="F45" s="114">
        <v>0</v>
      </c>
      <c r="G45" s="19">
        <f t="shared" si="17"/>
        <v>2517</v>
      </c>
      <c r="H45" s="20">
        <f t="shared" si="18"/>
        <v>13053</v>
      </c>
    </row>
    <row r="46" spans="1:8" s="1" customFormat="1" ht="20.149999999999999" customHeight="1" x14ac:dyDescent="0.25">
      <c r="A46" s="380" t="s">
        <v>274</v>
      </c>
      <c r="B46" s="114">
        <v>0</v>
      </c>
      <c r="C46" s="114">
        <v>0</v>
      </c>
      <c r="D46" s="115">
        <f t="shared" si="16"/>
        <v>0</v>
      </c>
      <c r="E46" s="114">
        <v>0</v>
      </c>
      <c r="F46" s="114">
        <v>0</v>
      </c>
      <c r="G46" s="19">
        <f t="shared" si="17"/>
        <v>0</v>
      </c>
      <c r="H46" s="20">
        <f t="shared" si="18"/>
        <v>0</v>
      </c>
    </row>
    <row r="47" spans="1:8" s="1" customFormat="1" ht="20.149999999999999" customHeight="1" thickBot="1" x14ac:dyDescent="0.3">
      <c r="A47" s="16" t="s">
        <v>149</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49999999999999" customHeight="1" thickBot="1" x14ac:dyDescent="0.3">
      <c r="A48" s="540"/>
      <c r="B48" s="541"/>
      <c r="C48" s="541"/>
      <c r="D48" s="541"/>
      <c r="E48" s="541"/>
      <c r="F48" s="541"/>
      <c r="G48" s="541"/>
      <c r="H48" s="541"/>
    </row>
    <row r="49" spans="1:8" s="1" customFormat="1" ht="20.149999999999999" customHeight="1" x14ac:dyDescent="0.25">
      <c r="A49" s="548" t="s">
        <v>276</v>
      </c>
      <c r="B49" s="549"/>
      <c r="C49" s="549"/>
      <c r="D49" s="549"/>
      <c r="E49" s="549"/>
      <c r="F49" s="549"/>
      <c r="G49" s="549"/>
      <c r="H49" s="550"/>
    </row>
    <row r="50" spans="1:8" s="1" customFormat="1" ht="20.149999999999999" customHeight="1" x14ac:dyDescent="0.25">
      <c r="A50" s="543" t="s">
        <v>255</v>
      </c>
      <c r="B50" s="518" t="s">
        <v>256</v>
      </c>
      <c r="C50" s="518"/>
      <c r="D50" s="518"/>
      <c r="E50" s="518" t="s">
        <v>257</v>
      </c>
      <c r="F50" s="518"/>
      <c r="G50" s="518"/>
      <c r="H50" s="539" t="s">
        <v>149</v>
      </c>
    </row>
    <row r="51" spans="1:8" s="1" customFormat="1" ht="20.149999999999999" customHeight="1" thickBot="1" x14ac:dyDescent="0.3">
      <c r="A51" s="544"/>
      <c r="B51" s="379" t="s">
        <v>258</v>
      </c>
      <c r="C51" s="379" t="s">
        <v>259</v>
      </c>
      <c r="D51" s="379" t="s">
        <v>149</v>
      </c>
      <c r="E51" s="379" t="s">
        <v>258</v>
      </c>
      <c r="F51" s="379" t="s">
        <v>259</v>
      </c>
      <c r="G51" s="379" t="s">
        <v>149</v>
      </c>
      <c r="H51" s="539"/>
    </row>
    <row r="52" spans="1:8" s="1" customFormat="1" ht="20.149999999999999" customHeight="1" x14ac:dyDescent="0.25">
      <c r="A52" s="21" t="s">
        <v>141</v>
      </c>
      <c r="B52" s="13">
        <v>356200</v>
      </c>
      <c r="C52" s="13">
        <v>79113</v>
      </c>
      <c r="D52" s="14">
        <f>B52+C52</f>
        <v>435313</v>
      </c>
      <c r="E52" s="13">
        <v>28959</v>
      </c>
      <c r="F52" s="13">
        <v>11929</v>
      </c>
      <c r="G52" s="18">
        <f>E52+F52</f>
        <v>40888</v>
      </c>
      <c r="H52" s="20">
        <f>SUM(D52,G52)</f>
        <v>476201</v>
      </c>
    </row>
    <row r="53" spans="1:8" s="1" customFormat="1" ht="20.149999999999999" customHeight="1" x14ac:dyDescent="0.25">
      <c r="A53" s="380" t="s">
        <v>260</v>
      </c>
      <c r="B53" s="13">
        <v>0</v>
      </c>
      <c r="C53" s="13">
        <v>0</v>
      </c>
      <c r="D53" s="14">
        <f>B53+C53</f>
        <v>0</v>
      </c>
      <c r="E53" s="13">
        <v>0</v>
      </c>
      <c r="F53" s="13">
        <v>0</v>
      </c>
      <c r="G53" s="18">
        <f>E53+F53</f>
        <v>0</v>
      </c>
      <c r="H53" s="20">
        <f>SUM(D53,G53)</f>
        <v>0</v>
      </c>
    </row>
    <row r="54" spans="1:8" s="1" customFormat="1" ht="20.149999999999999" customHeight="1" x14ac:dyDescent="0.25">
      <c r="A54" s="380" t="s">
        <v>261</v>
      </c>
      <c r="B54" s="114">
        <v>0</v>
      </c>
      <c r="C54" s="114">
        <v>0</v>
      </c>
      <c r="D54" s="115">
        <f t="shared" ref="D54:D55" si="25">B54+C54</f>
        <v>0</v>
      </c>
      <c r="E54" s="114">
        <v>957528</v>
      </c>
      <c r="F54" s="114">
        <v>0</v>
      </c>
      <c r="G54" s="19">
        <f t="shared" ref="G54:G55" si="26">E54+F54</f>
        <v>957528</v>
      </c>
      <c r="H54" s="20">
        <f t="shared" ref="H54:H55" si="27">SUM(D54,G54)</f>
        <v>957528</v>
      </c>
    </row>
    <row r="55" spans="1:8" s="1" customFormat="1" ht="20.149999999999999" customHeight="1" x14ac:dyDescent="0.25">
      <c r="A55" s="380" t="s">
        <v>262</v>
      </c>
      <c r="B55" s="114">
        <v>0</v>
      </c>
      <c r="C55" s="114">
        <v>0</v>
      </c>
      <c r="D55" s="115">
        <f t="shared" si="25"/>
        <v>0</v>
      </c>
      <c r="E55" s="114">
        <v>20592</v>
      </c>
      <c r="F55" s="114">
        <v>0</v>
      </c>
      <c r="G55" s="19">
        <f t="shared" si="26"/>
        <v>20592</v>
      </c>
      <c r="H55" s="20">
        <f t="shared" si="27"/>
        <v>20592</v>
      </c>
    </row>
    <row r="56" spans="1:8" s="1" customFormat="1" ht="20.149999999999999" customHeight="1" x14ac:dyDescent="0.25">
      <c r="A56" s="28" t="s">
        <v>263</v>
      </c>
      <c r="B56" s="114">
        <v>0</v>
      </c>
      <c r="C56" s="114">
        <v>0</v>
      </c>
      <c r="D56" s="115">
        <f t="shared" ref="D56" si="28">B56+C56</f>
        <v>0</v>
      </c>
      <c r="E56" s="114">
        <v>0</v>
      </c>
      <c r="F56" s="114">
        <v>0</v>
      </c>
      <c r="G56" s="19">
        <f t="shared" ref="G56" si="29">E56+F56</f>
        <v>0</v>
      </c>
      <c r="H56" s="20">
        <f t="shared" ref="H56" si="30">SUM(D56,G56)</f>
        <v>0</v>
      </c>
    </row>
    <row r="57" spans="1:8" s="1" customFormat="1" ht="20.149999999999999" customHeight="1" x14ac:dyDescent="0.25">
      <c r="A57" s="380" t="s">
        <v>264</v>
      </c>
      <c r="B57" s="114">
        <v>0</v>
      </c>
      <c r="C57" s="114">
        <v>0</v>
      </c>
      <c r="D57" s="115">
        <f t="shared" ref="D57:D67" si="31">B57+C57</f>
        <v>0</v>
      </c>
      <c r="E57" s="114">
        <v>0</v>
      </c>
      <c r="F57" s="114">
        <v>0</v>
      </c>
      <c r="G57" s="19">
        <f t="shared" ref="G57:G67" si="32">E57+F57</f>
        <v>0</v>
      </c>
      <c r="H57" s="20">
        <f t="shared" ref="H57:H67" si="33">SUM(D57,G57)</f>
        <v>0</v>
      </c>
    </row>
    <row r="58" spans="1:8" s="1" customFormat="1" ht="20.149999999999999" customHeight="1" x14ac:dyDescent="0.25">
      <c r="A58" s="380" t="s">
        <v>265</v>
      </c>
      <c r="B58" s="114">
        <v>0</v>
      </c>
      <c r="C58" s="114">
        <v>0</v>
      </c>
      <c r="D58" s="115">
        <f t="shared" si="31"/>
        <v>0</v>
      </c>
      <c r="E58" s="114">
        <v>0</v>
      </c>
      <c r="F58" s="114">
        <v>0</v>
      </c>
      <c r="G58" s="19">
        <f t="shared" si="32"/>
        <v>0</v>
      </c>
      <c r="H58" s="20">
        <f t="shared" si="33"/>
        <v>0</v>
      </c>
    </row>
    <row r="59" spans="1:8" s="1" customFormat="1" ht="20.149999999999999" customHeight="1" x14ac:dyDescent="0.25">
      <c r="A59" s="380" t="s">
        <v>266</v>
      </c>
      <c r="B59" s="114">
        <v>0</v>
      </c>
      <c r="C59" s="114">
        <v>0</v>
      </c>
      <c r="D59" s="115">
        <f t="shared" si="31"/>
        <v>0</v>
      </c>
      <c r="E59" s="114">
        <v>0</v>
      </c>
      <c r="F59" s="114">
        <v>0</v>
      </c>
      <c r="G59" s="19">
        <f t="shared" si="32"/>
        <v>0</v>
      </c>
      <c r="H59" s="20">
        <f t="shared" si="33"/>
        <v>0</v>
      </c>
    </row>
    <row r="60" spans="1:8" s="1" customFormat="1" ht="20.149999999999999" customHeight="1" x14ac:dyDescent="0.25">
      <c r="A60" s="380" t="s">
        <v>267</v>
      </c>
      <c r="B60" s="114">
        <v>0</v>
      </c>
      <c r="C60" s="114">
        <v>0</v>
      </c>
      <c r="D60" s="115">
        <f t="shared" si="31"/>
        <v>0</v>
      </c>
      <c r="E60" s="114">
        <v>0</v>
      </c>
      <c r="F60" s="114">
        <v>0</v>
      </c>
      <c r="G60" s="19">
        <f t="shared" si="32"/>
        <v>0</v>
      </c>
      <c r="H60" s="20">
        <f t="shared" si="33"/>
        <v>0</v>
      </c>
    </row>
    <row r="61" spans="1:8" s="1" customFormat="1" ht="20.149999999999999" customHeight="1" x14ac:dyDescent="0.25">
      <c r="A61" s="380" t="s">
        <v>268</v>
      </c>
      <c r="B61" s="114">
        <v>0</v>
      </c>
      <c r="C61" s="114">
        <v>0</v>
      </c>
      <c r="D61" s="115">
        <f t="shared" si="31"/>
        <v>0</v>
      </c>
      <c r="E61" s="114">
        <v>0</v>
      </c>
      <c r="F61" s="114">
        <v>0</v>
      </c>
      <c r="G61" s="19">
        <f t="shared" si="32"/>
        <v>0</v>
      </c>
      <c r="H61" s="20">
        <f t="shared" si="33"/>
        <v>0</v>
      </c>
    </row>
    <row r="62" spans="1:8" s="1" customFormat="1" ht="20.149999999999999" customHeight="1" x14ac:dyDescent="0.25">
      <c r="A62" s="380" t="s">
        <v>269</v>
      </c>
      <c r="B62" s="114">
        <v>0</v>
      </c>
      <c r="C62" s="114">
        <v>0</v>
      </c>
      <c r="D62" s="115">
        <f t="shared" si="31"/>
        <v>0</v>
      </c>
      <c r="E62" s="114">
        <v>0</v>
      </c>
      <c r="F62" s="114">
        <v>0</v>
      </c>
      <c r="G62" s="19">
        <f t="shared" si="32"/>
        <v>0</v>
      </c>
      <c r="H62" s="20">
        <f t="shared" si="33"/>
        <v>0</v>
      </c>
    </row>
    <row r="63" spans="1:8" s="1" customFormat="1" ht="20.149999999999999" customHeight="1" x14ac:dyDescent="0.25">
      <c r="A63" s="380" t="s">
        <v>270</v>
      </c>
      <c r="B63" s="114">
        <v>44600</v>
      </c>
      <c r="C63" s="114">
        <v>0</v>
      </c>
      <c r="D63" s="115">
        <f t="shared" si="31"/>
        <v>44600</v>
      </c>
      <c r="E63" s="114">
        <v>0</v>
      </c>
      <c r="F63" s="114">
        <v>0</v>
      </c>
      <c r="G63" s="19">
        <f t="shared" si="32"/>
        <v>0</v>
      </c>
      <c r="H63" s="20">
        <f t="shared" si="33"/>
        <v>44600</v>
      </c>
    </row>
    <row r="64" spans="1:8" s="1" customFormat="1" ht="20.149999999999999" customHeight="1" x14ac:dyDescent="0.25">
      <c r="A64" s="380" t="s">
        <v>271</v>
      </c>
      <c r="B64" s="114">
        <v>0</v>
      </c>
      <c r="C64" s="114">
        <v>0</v>
      </c>
      <c r="D64" s="115">
        <f t="shared" si="31"/>
        <v>0</v>
      </c>
      <c r="E64" s="114">
        <v>0</v>
      </c>
      <c r="F64" s="114">
        <v>0</v>
      </c>
      <c r="G64" s="19">
        <f t="shared" si="32"/>
        <v>0</v>
      </c>
      <c r="H64" s="20">
        <f t="shared" si="33"/>
        <v>0</v>
      </c>
    </row>
    <row r="65" spans="1:8" s="1" customFormat="1" ht="20.149999999999999" customHeight="1" x14ac:dyDescent="0.25">
      <c r="A65" s="380" t="s">
        <v>272</v>
      </c>
      <c r="B65" s="114">
        <v>93913</v>
      </c>
      <c r="C65" s="114">
        <v>0</v>
      </c>
      <c r="D65" s="115">
        <f t="shared" si="31"/>
        <v>93913</v>
      </c>
      <c r="E65" s="114">
        <v>0</v>
      </c>
      <c r="F65" s="114">
        <v>0</v>
      </c>
      <c r="G65" s="19">
        <f t="shared" si="32"/>
        <v>0</v>
      </c>
      <c r="H65" s="20">
        <f t="shared" si="33"/>
        <v>93913</v>
      </c>
    </row>
    <row r="66" spans="1:8" s="1" customFormat="1" ht="20.149999999999999" customHeight="1" x14ac:dyDescent="0.25">
      <c r="A66" s="380" t="s">
        <v>273</v>
      </c>
      <c r="B66" s="114">
        <v>10957</v>
      </c>
      <c r="C66" s="114">
        <v>0</v>
      </c>
      <c r="D66" s="115">
        <f t="shared" si="31"/>
        <v>10957</v>
      </c>
      <c r="E66" s="114">
        <v>2618</v>
      </c>
      <c r="F66" s="114">
        <v>0</v>
      </c>
      <c r="G66" s="19">
        <f t="shared" si="32"/>
        <v>2618</v>
      </c>
      <c r="H66" s="20">
        <f t="shared" si="33"/>
        <v>13575</v>
      </c>
    </row>
    <row r="67" spans="1:8" s="1" customFormat="1" ht="20.149999999999999" customHeight="1" x14ac:dyDescent="0.25">
      <c r="A67" s="380" t="s">
        <v>274</v>
      </c>
      <c r="B67" s="114">
        <v>0</v>
      </c>
      <c r="C67" s="114">
        <v>0</v>
      </c>
      <c r="D67" s="115">
        <f t="shared" si="31"/>
        <v>0</v>
      </c>
      <c r="E67" s="114">
        <v>0</v>
      </c>
      <c r="F67" s="114">
        <v>0</v>
      </c>
      <c r="G67" s="19">
        <f t="shared" si="32"/>
        <v>0</v>
      </c>
      <c r="H67" s="20">
        <f t="shared" si="33"/>
        <v>0</v>
      </c>
    </row>
    <row r="68" spans="1:8" s="1" customFormat="1" ht="20.149999999999999" customHeight="1" thickBot="1" x14ac:dyDescent="0.3">
      <c r="A68" s="16" t="s">
        <v>149</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49999999999999" customHeight="1" thickBot="1" x14ac:dyDescent="0.3">
      <c r="A69" s="540"/>
      <c r="B69" s="541"/>
      <c r="C69" s="541"/>
      <c r="D69" s="541"/>
      <c r="E69" s="541"/>
      <c r="F69" s="541"/>
      <c r="G69" s="541"/>
      <c r="H69" s="541"/>
    </row>
    <row r="70" spans="1:8" s="1" customFormat="1" ht="20.149999999999999" customHeight="1" x14ac:dyDescent="0.25">
      <c r="A70" s="548" t="s">
        <v>277</v>
      </c>
      <c r="B70" s="549"/>
      <c r="C70" s="549"/>
      <c r="D70" s="549"/>
      <c r="E70" s="549"/>
      <c r="F70" s="549"/>
      <c r="G70" s="549"/>
      <c r="H70" s="550"/>
    </row>
    <row r="71" spans="1:8" s="1" customFormat="1" ht="20.149999999999999" customHeight="1" x14ac:dyDescent="0.25">
      <c r="A71" s="543" t="s">
        <v>255</v>
      </c>
      <c r="B71" s="518" t="s">
        <v>256</v>
      </c>
      <c r="C71" s="518"/>
      <c r="D71" s="518"/>
      <c r="E71" s="518" t="s">
        <v>257</v>
      </c>
      <c r="F71" s="518"/>
      <c r="G71" s="518"/>
      <c r="H71" s="539" t="s">
        <v>149</v>
      </c>
    </row>
    <row r="72" spans="1:8" s="1" customFormat="1" ht="20.149999999999999" customHeight="1" thickBot="1" x14ac:dyDescent="0.3">
      <c r="A72" s="544"/>
      <c r="B72" s="379" t="s">
        <v>258</v>
      </c>
      <c r="C72" s="379" t="s">
        <v>259</v>
      </c>
      <c r="D72" s="379" t="s">
        <v>149</v>
      </c>
      <c r="E72" s="379" t="s">
        <v>258</v>
      </c>
      <c r="F72" s="379" t="s">
        <v>259</v>
      </c>
      <c r="G72" s="379" t="s">
        <v>149</v>
      </c>
      <c r="H72" s="539"/>
    </row>
    <row r="73" spans="1:8" s="1" customFormat="1" ht="20.149999999999999" customHeight="1" x14ac:dyDescent="0.25">
      <c r="A73" s="21" t="s">
        <v>141</v>
      </c>
      <c r="B73" s="13">
        <v>370448</v>
      </c>
      <c r="C73" s="13">
        <v>82277</v>
      </c>
      <c r="D73" s="14">
        <f>B73+C73</f>
        <v>452725</v>
      </c>
      <c r="E73" s="13">
        <v>30117</v>
      </c>
      <c r="F73" s="13">
        <v>12406</v>
      </c>
      <c r="G73" s="18">
        <f>E73+F73</f>
        <v>42523</v>
      </c>
      <c r="H73" s="20">
        <f>SUM(D73,G73)</f>
        <v>495248</v>
      </c>
    </row>
    <row r="74" spans="1:8" s="1" customFormat="1" ht="20.149999999999999" customHeight="1" x14ac:dyDescent="0.25">
      <c r="A74" s="380" t="s">
        <v>260</v>
      </c>
      <c r="B74" s="13">
        <v>0</v>
      </c>
      <c r="C74" s="13">
        <v>0</v>
      </c>
      <c r="D74" s="14">
        <f>B74+C74</f>
        <v>0</v>
      </c>
      <c r="E74" s="13">
        <v>0</v>
      </c>
      <c r="F74" s="13">
        <v>0</v>
      </c>
      <c r="G74" s="18">
        <f>E74+F74</f>
        <v>0</v>
      </c>
      <c r="H74" s="20">
        <f>SUM(D74,G74)</f>
        <v>0</v>
      </c>
    </row>
    <row r="75" spans="1:8" s="1" customFormat="1" ht="20.149999999999999" customHeight="1" x14ac:dyDescent="0.25">
      <c r="A75" s="380" t="s">
        <v>261</v>
      </c>
      <c r="B75" s="114">
        <v>0</v>
      </c>
      <c r="C75" s="114">
        <v>0</v>
      </c>
      <c r="D75" s="115">
        <f t="shared" ref="D75:D88" si="40">B75+C75</f>
        <v>0</v>
      </c>
      <c r="E75" s="114">
        <v>995829</v>
      </c>
      <c r="F75" s="114">
        <v>0</v>
      </c>
      <c r="G75" s="19">
        <f t="shared" ref="G75:G88" si="41">E75+F75</f>
        <v>995829</v>
      </c>
      <c r="H75" s="20">
        <f t="shared" ref="H75:H88" si="42">SUM(D75,G75)</f>
        <v>995829</v>
      </c>
    </row>
    <row r="76" spans="1:8" s="1" customFormat="1" ht="20.149999999999999" customHeight="1" x14ac:dyDescent="0.25">
      <c r="A76" s="380" t="s">
        <v>262</v>
      </c>
      <c r="B76" s="114">
        <v>0</v>
      </c>
      <c r="C76" s="114">
        <v>0</v>
      </c>
      <c r="D76" s="115">
        <f t="shared" si="40"/>
        <v>0</v>
      </c>
      <c r="E76" s="114">
        <v>21416</v>
      </c>
      <c r="F76" s="114">
        <v>0</v>
      </c>
      <c r="G76" s="19">
        <f t="shared" si="41"/>
        <v>21416</v>
      </c>
      <c r="H76" s="20">
        <f t="shared" si="42"/>
        <v>21416</v>
      </c>
    </row>
    <row r="77" spans="1:8" s="1" customFormat="1" ht="20.149999999999999" customHeight="1" x14ac:dyDescent="0.25">
      <c r="A77" s="28" t="s">
        <v>263</v>
      </c>
      <c r="B77" s="114">
        <v>0</v>
      </c>
      <c r="C77" s="114">
        <v>0</v>
      </c>
      <c r="D77" s="115">
        <f t="shared" si="40"/>
        <v>0</v>
      </c>
      <c r="E77" s="114">
        <v>0</v>
      </c>
      <c r="F77" s="114">
        <v>0</v>
      </c>
      <c r="G77" s="19">
        <f t="shared" si="41"/>
        <v>0</v>
      </c>
      <c r="H77" s="20">
        <f t="shared" si="42"/>
        <v>0</v>
      </c>
    </row>
    <row r="78" spans="1:8" s="1" customFormat="1" ht="20.149999999999999" customHeight="1" x14ac:dyDescent="0.25">
      <c r="A78" s="380" t="s">
        <v>264</v>
      </c>
      <c r="B78" s="114">
        <v>0</v>
      </c>
      <c r="C78" s="114">
        <v>0</v>
      </c>
      <c r="D78" s="115">
        <f t="shared" si="40"/>
        <v>0</v>
      </c>
      <c r="E78" s="114">
        <v>0</v>
      </c>
      <c r="F78" s="114">
        <v>0</v>
      </c>
      <c r="G78" s="19">
        <f t="shared" si="41"/>
        <v>0</v>
      </c>
      <c r="H78" s="20">
        <f t="shared" si="42"/>
        <v>0</v>
      </c>
    </row>
    <row r="79" spans="1:8" s="1" customFormat="1" ht="20.149999999999999" customHeight="1" x14ac:dyDescent="0.25">
      <c r="A79" s="380" t="s">
        <v>265</v>
      </c>
      <c r="B79" s="114">
        <v>0</v>
      </c>
      <c r="C79" s="114">
        <v>0</v>
      </c>
      <c r="D79" s="115">
        <f t="shared" si="40"/>
        <v>0</v>
      </c>
      <c r="E79" s="114">
        <v>0</v>
      </c>
      <c r="F79" s="114">
        <v>0</v>
      </c>
      <c r="G79" s="19">
        <f t="shared" si="41"/>
        <v>0</v>
      </c>
      <c r="H79" s="20">
        <f t="shared" si="42"/>
        <v>0</v>
      </c>
    </row>
    <row r="80" spans="1:8" s="1" customFormat="1" ht="20.149999999999999" customHeight="1" x14ac:dyDescent="0.25">
      <c r="A80" s="380" t="s">
        <v>266</v>
      </c>
      <c r="B80" s="114">
        <v>0</v>
      </c>
      <c r="C80" s="114">
        <v>0</v>
      </c>
      <c r="D80" s="115">
        <f t="shared" si="40"/>
        <v>0</v>
      </c>
      <c r="E80" s="114">
        <v>0</v>
      </c>
      <c r="F80" s="114">
        <v>0</v>
      </c>
      <c r="G80" s="19">
        <f t="shared" si="41"/>
        <v>0</v>
      </c>
      <c r="H80" s="20">
        <f t="shared" si="42"/>
        <v>0</v>
      </c>
    </row>
    <row r="81" spans="1:8" s="1" customFormat="1" ht="20.149999999999999" customHeight="1" x14ac:dyDescent="0.25">
      <c r="A81" s="380" t="s">
        <v>267</v>
      </c>
      <c r="B81" s="114">
        <v>0</v>
      </c>
      <c r="C81" s="114">
        <v>0</v>
      </c>
      <c r="D81" s="115">
        <f t="shared" si="40"/>
        <v>0</v>
      </c>
      <c r="E81" s="114">
        <v>0</v>
      </c>
      <c r="F81" s="114">
        <v>0</v>
      </c>
      <c r="G81" s="19">
        <f t="shared" si="41"/>
        <v>0</v>
      </c>
      <c r="H81" s="20">
        <f t="shared" si="42"/>
        <v>0</v>
      </c>
    </row>
    <row r="82" spans="1:8" s="1" customFormat="1" ht="20.149999999999999" customHeight="1" x14ac:dyDescent="0.25">
      <c r="A82" s="380" t="s">
        <v>268</v>
      </c>
      <c r="B82" s="114">
        <v>0</v>
      </c>
      <c r="C82" s="114">
        <v>0</v>
      </c>
      <c r="D82" s="115">
        <f t="shared" si="40"/>
        <v>0</v>
      </c>
      <c r="E82" s="114">
        <v>0</v>
      </c>
      <c r="F82" s="114">
        <v>0</v>
      </c>
      <c r="G82" s="19">
        <f t="shared" si="41"/>
        <v>0</v>
      </c>
      <c r="H82" s="20">
        <f t="shared" si="42"/>
        <v>0</v>
      </c>
    </row>
    <row r="83" spans="1:8" s="1" customFormat="1" ht="20.149999999999999" customHeight="1" x14ac:dyDescent="0.25">
      <c r="A83" s="380" t="s">
        <v>269</v>
      </c>
      <c r="B83" s="114">
        <v>0</v>
      </c>
      <c r="C83" s="114">
        <v>0</v>
      </c>
      <c r="D83" s="115">
        <f t="shared" si="40"/>
        <v>0</v>
      </c>
      <c r="E83" s="114">
        <v>0</v>
      </c>
      <c r="F83" s="114">
        <v>0</v>
      </c>
      <c r="G83" s="19">
        <f t="shared" si="41"/>
        <v>0</v>
      </c>
      <c r="H83" s="20">
        <f t="shared" si="42"/>
        <v>0</v>
      </c>
    </row>
    <row r="84" spans="1:8" s="1" customFormat="1" ht="20.149999999999999" customHeight="1" x14ac:dyDescent="0.25">
      <c r="A84" s="380" t="s">
        <v>270</v>
      </c>
      <c r="B84" s="114">
        <v>46384</v>
      </c>
      <c r="C84" s="114">
        <v>0</v>
      </c>
      <c r="D84" s="115">
        <f t="shared" si="40"/>
        <v>46384</v>
      </c>
      <c r="E84" s="114">
        <v>0</v>
      </c>
      <c r="F84" s="114">
        <v>0</v>
      </c>
      <c r="G84" s="19">
        <f t="shared" si="41"/>
        <v>0</v>
      </c>
      <c r="H84" s="20">
        <f t="shared" si="42"/>
        <v>46384</v>
      </c>
    </row>
    <row r="85" spans="1:8" s="1" customFormat="1" ht="20.149999999999999" customHeight="1" x14ac:dyDescent="0.25">
      <c r="A85" s="380" t="s">
        <v>271</v>
      </c>
      <c r="B85" s="114">
        <v>0</v>
      </c>
      <c r="C85" s="114">
        <v>0</v>
      </c>
      <c r="D85" s="115">
        <f t="shared" si="40"/>
        <v>0</v>
      </c>
      <c r="E85" s="114">
        <v>0</v>
      </c>
      <c r="F85" s="114">
        <v>0</v>
      </c>
      <c r="G85" s="19">
        <f t="shared" si="41"/>
        <v>0</v>
      </c>
      <c r="H85" s="20">
        <f t="shared" si="42"/>
        <v>0</v>
      </c>
    </row>
    <row r="86" spans="1:8" s="1" customFormat="1" ht="20.149999999999999" customHeight="1" x14ac:dyDescent="0.25">
      <c r="A86" s="380" t="s">
        <v>272</v>
      </c>
      <c r="B86" s="114">
        <v>97670</v>
      </c>
      <c r="C86" s="114">
        <v>0</v>
      </c>
      <c r="D86" s="115">
        <f t="shared" si="40"/>
        <v>97670</v>
      </c>
      <c r="E86" s="114">
        <v>0</v>
      </c>
      <c r="F86" s="114">
        <v>0</v>
      </c>
      <c r="G86" s="19">
        <f t="shared" si="41"/>
        <v>0</v>
      </c>
      <c r="H86" s="20">
        <f t="shared" si="42"/>
        <v>97670</v>
      </c>
    </row>
    <row r="87" spans="1:8" s="1" customFormat="1" ht="20.149999999999999" customHeight="1" x14ac:dyDescent="0.25">
      <c r="A87" s="380" t="s">
        <v>273</v>
      </c>
      <c r="B87" s="114">
        <v>11396</v>
      </c>
      <c r="C87" s="114">
        <v>0</v>
      </c>
      <c r="D87" s="115">
        <f t="shared" si="40"/>
        <v>11396</v>
      </c>
      <c r="E87" s="114">
        <v>2722</v>
      </c>
      <c r="F87" s="114">
        <v>0</v>
      </c>
      <c r="G87" s="19">
        <f t="shared" si="41"/>
        <v>2722</v>
      </c>
      <c r="H87" s="20">
        <f t="shared" si="42"/>
        <v>14118</v>
      </c>
    </row>
    <row r="88" spans="1:8" s="1" customFormat="1" ht="20.149999999999999" customHeight="1" x14ac:dyDescent="0.25">
      <c r="A88" s="380" t="s">
        <v>274</v>
      </c>
      <c r="B88" s="114">
        <v>0</v>
      </c>
      <c r="C88" s="114">
        <v>0</v>
      </c>
      <c r="D88" s="115">
        <f t="shared" si="40"/>
        <v>0</v>
      </c>
      <c r="E88" s="114">
        <v>0</v>
      </c>
      <c r="F88" s="114">
        <v>0</v>
      </c>
      <c r="G88" s="19">
        <f t="shared" si="41"/>
        <v>0</v>
      </c>
      <c r="H88" s="20">
        <f t="shared" si="42"/>
        <v>0</v>
      </c>
    </row>
    <row r="89" spans="1:8" s="1" customFormat="1" ht="20.149999999999999" customHeight="1" thickBot="1" x14ac:dyDescent="0.3">
      <c r="A89" s="16" t="s">
        <v>149</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49999999999999" customHeight="1" thickBot="1" x14ac:dyDescent="0.3">
      <c r="A90" s="540"/>
      <c r="B90" s="541"/>
      <c r="C90" s="541"/>
      <c r="D90" s="541"/>
      <c r="E90" s="541"/>
      <c r="F90" s="541"/>
      <c r="G90" s="541"/>
      <c r="H90" s="541"/>
    </row>
    <row r="91" spans="1:8" s="1" customFormat="1" ht="20.149999999999999" customHeight="1" x14ac:dyDescent="0.25">
      <c r="A91" s="548" t="s">
        <v>278</v>
      </c>
      <c r="B91" s="549"/>
      <c r="C91" s="549"/>
      <c r="D91" s="549"/>
      <c r="E91" s="549"/>
      <c r="F91" s="549"/>
      <c r="G91" s="549"/>
      <c r="H91" s="550"/>
    </row>
    <row r="92" spans="1:8" s="1" customFormat="1" ht="20.149999999999999" customHeight="1" x14ac:dyDescent="0.25">
      <c r="A92" s="537" t="s">
        <v>255</v>
      </c>
      <c r="B92" s="518" t="s">
        <v>256</v>
      </c>
      <c r="C92" s="518"/>
      <c r="D92" s="518"/>
      <c r="E92" s="518" t="s">
        <v>257</v>
      </c>
      <c r="F92" s="518"/>
      <c r="G92" s="518"/>
      <c r="H92" s="539" t="s">
        <v>149</v>
      </c>
    </row>
    <row r="93" spans="1:8" s="1" customFormat="1" ht="20.149999999999999" customHeight="1" x14ac:dyDescent="0.25">
      <c r="A93" s="578"/>
      <c r="B93" s="379" t="s">
        <v>258</v>
      </c>
      <c r="C93" s="379" t="s">
        <v>259</v>
      </c>
      <c r="D93" s="379" t="s">
        <v>149</v>
      </c>
      <c r="E93" s="379" t="s">
        <v>258</v>
      </c>
      <c r="F93" s="379" t="s">
        <v>259</v>
      </c>
      <c r="G93" s="379" t="s">
        <v>149</v>
      </c>
      <c r="H93" s="539"/>
    </row>
    <row r="94" spans="1:8" s="1" customFormat="1" ht="20.149999999999999" customHeight="1" x14ac:dyDescent="0.25">
      <c r="A94" s="21" t="s">
        <v>141</v>
      </c>
      <c r="B94" s="13">
        <v>385266</v>
      </c>
      <c r="C94" s="13">
        <v>85568</v>
      </c>
      <c r="D94" s="14">
        <f>B94+C94</f>
        <v>470834</v>
      </c>
      <c r="E94" s="13">
        <v>31322</v>
      </c>
      <c r="F94" s="13">
        <v>12902</v>
      </c>
      <c r="G94" s="18">
        <f>E94+F94</f>
        <v>44224</v>
      </c>
      <c r="H94" s="20">
        <f>SUM(D94,G94)</f>
        <v>515058</v>
      </c>
    </row>
    <row r="95" spans="1:8" s="1" customFormat="1" ht="20.149999999999999" customHeight="1" x14ac:dyDescent="0.25">
      <c r="A95" s="380" t="s">
        <v>260</v>
      </c>
      <c r="B95" s="13">
        <v>0</v>
      </c>
      <c r="C95" s="13">
        <v>0</v>
      </c>
      <c r="D95" s="14">
        <f>B95+C95</f>
        <v>0</v>
      </c>
      <c r="E95" s="13">
        <v>0</v>
      </c>
      <c r="F95" s="13">
        <v>0</v>
      </c>
      <c r="G95" s="18">
        <f>E95+F95</f>
        <v>0</v>
      </c>
      <c r="H95" s="20">
        <f>SUM(D95,G95)</f>
        <v>0</v>
      </c>
    </row>
    <row r="96" spans="1:8" s="1" customFormat="1" ht="20.149999999999999" customHeight="1" x14ac:dyDescent="0.25">
      <c r="A96" s="380" t="s">
        <v>261</v>
      </c>
      <c r="B96" s="114">
        <v>0</v>
      </c>
      <c r="C96" s="114">
        <v>0</v>
      </c>
      <c r="D96" s="115">
        <f t="shared" ref="D96:D109" si="49">B96+C96</f>
        <v>0</v>
      </c>
      <c r="E96" s="114">
        <v>1035662</v>
      </c>
      <c r="F96" s="114">
        <v>0</v>
      </c>
      <c r="G96" s="19">
        <f t="shared" ref="G96:G109" si="50">E96+F96</f>
        <v>1035662</v>
      </c>
      <c r="H96" s="20">
        <f t="shared" ref="H96:H109" si="51">SUM(D96,G96)</f>
        <v>1035662</v>
      </c>
    </row>
    <row r="97" spans="1:8" s="1" customFormat="1" ht="20.149999999999999" customHeight="1" x14ac:dyDescent="0.25">
      <c r="A97" s="380" t="s">
        <v>262</v>
      </c>
      <c r="B97" s="114">
        <v>0</v>
      </c>
      <c r="C97" s="114">
        <v>0</v>
      </c>
      <c r="D97" s="115">
        <f t="shared" si="49"/>
        <v>0</v>
      </c>
      <c r="E97" s="114">
        <v>22272</v>
      </c>
      <c r="F97" s="114">
        <v>0</v>
      </c>
      <c r="G97" s="19">
        <f t="shared" si="50"/>
        <v>22272</v>
      </c>
      <c r="H97" s="20">
        <f t="shared" si="51"/>
        <v>22272</v>
      </c>
    </row>
    <row r="98" spans="1:8" s="1" customFormat="1" ht="20.149999999999999" customHeight="1" x14ac:dyDescent="0.25">
      <c r="A98" s="28" t="s">
        <v>263</v>
      </c>
      <c r="B98" s="114">
        <v>0</v>
      </c>
      <c r="C98" s="114">
        <v>0</v>
      </c>
      <c r="D98" s="115">
        <f t="shared" si="49"/>
        <v>0</v>
      </c>
      <c r="E98" s="114">
        <v>0</v>
      </c>
      <c r="F98" s="114">
        <v>0</v>
      </c>
      <c r="G98" s="19">
        <f t="shared" si="50"/>
        <v>0</v>
      </c>
      <c r="H98" s="20">
        <f t="shared" si="51"/>
        <v>0</v>
      </c>
    </row>
    <row r="99" spans="1:8" s="1" customFormat="1" ht="20.149999999999999" customHeight="1" x14ac:dyDescent="0.25">
      <c r="A99" s="380" t="s">
        <v>264</v>
      </c>
      <c r="B99" s="114">
        <v>0</v>
      </c>
      <c r="C99" s="114">
        <v>0</v>
      </c>
      <c r="D99" s="115">
        <f t="shared" si="49"/>
        <v>0</v>
      </c>
      <c r="E99" s="114">
        <v>0</v>
      </c>
      <c r="F99" s="114">
        <v>0</v>
      </c>
      <c r="G99" s="19">
        <f t="shared" si="50"/>
        <v>0</v>
      </c>
      <c r="H99" s="20">
        <f t="shared" si="51"/>
        <v>0</v>
      </c>
    </row>
    <row r="100" spans="1:8" s="1" customFormat="1" ht="20.149999999999999" customHeight="1" x14ac:dyDescent="0.25">
      <c r="A100" s="380" t="s">
        <v>265</v>
      </c>
      <c r="B100" s="114">
        <v>0</v>
      </c>
      <c r="C100" s="114">
        <v>0</v>
      </c>
      <c r="D100" s="115">
        <f t="shared" si="49"/>
        <v>0</v>
      </c>
      <c r="E100" s="114">
        <v>0</v>
      </c>
      <c r="F100" s="114">
        <v>0</v>
      </c>
      <c r="G100" s="19">
        <f t="shared" si="50"/>
        <v>0</v>
      </c>
      <c r="H100" s="20">
        <f t="shared" si="51"/>
        <v>0</v>
      </c>
    </row>
    <row r="101" spans="1:8" s="1" customFormat="1" ht="20.149999999999999" customHeight="1" x14ac:dyDescent="0.25">
      <c r="A101" s="380" t="s">
        <v>266</v>
      </c>
      <c r="B101" s="114">
        <v>0</v>
      </c>
      <c r="C101" s="114">
        <v>0</v>
      </c>
      <c r="D101" s="115">
        <f t="shared" si="49"/>
        <v>0</v>
      </c>
      <c r="E101" s="114">
        <v>0</v>
      </c>
      <c r="F101" s="114">
        <v>0</v>
      </c>
      <c r="G101" s="19">
        <f t="shared" si="50"/>
        <v>0</v>
      </c>
      <c r="H101" s="20">
        <f t="shared" si="51"/>
        <v>0</v>
      </c>
    </row>
    <row r="102" spans="1:8" s="1" customFormat="1" ht="20.149999999999999" customHeight="1" x14ac:dyDescent="0.25">
      <c r="A102" s="380" t="s">
        <v>267</v>
      </c>
      <c r="B102" s="114">
        <v>0</v>
      </c>
      <c r="C102" s="114">
        <v>0</v>
      </c>
      <c r="D102" s="115">
        <f t="shared" si="49"/>
        <v>0</v>
      </c>
      <c r="E102" s="114">
        <v>0</v>
      </c>
      <c r="F102" s="114">
        <v>0</v>
      </c>
      <c r="G102" s="19">
        <f t="shared" si="50"/>
        <v>0</v>
      </c>
      <c r="H102" s="20">
        <f t="shared" si="51"/>
        <v>0</v>
      </c>
    </row>
    <row r="103" spans="1:8" s="1" customFormat="1" ht="20.149999999999999" customHeight="1" x14ac:dyDescent="0.25">
      <c r="A103" s="380" t="s">
        <v>268</v>
      </c>
      <c r="B103" s="114">
        <v>0</v>
      </c>
      <c r="C103" s="114">
        <v>0</v>
      </c>
      <c r="D103" s="115">
        <f t="shared" si="49"/>
        <v>0</v>
      </c>
      <c r="E103" s="114">
        <v>0</v>
      </c>
      <c r="F103" s="114">
        <v>0</v>
      </c>
      <c r="G103" s="19">
        <f t="shared" si="50"/>
        <v>0</v>
      </c>
      <c r="H103" s="20">
        <f t="shared" si="51"/>
        <v>0</v>
      </c>
    </row>
    <row r="104" spans="1:8" s="1" customFormat="1" ht="20.149999999999999" customHeight="1" x14ac:dyDescent="0.25">
      <c r="A104" s="380" t="s">
        <v>269</v>
      </c>
      <c r="B104" s="114">
        <v>0</v>
      </c>
      <c r="C104" s="114">
        <v>0</v>
      </c>
      <c r="D104" s="115">
        <f t="shared" si="49"/>
        <v>0</v>
      </c>
      <c r="E104" s="114">
        <v>0</v>
      </c>
      <c r="F104" s="114">
        <v>0</v>
      </c>
      <c r="G104" s="19">
        <f t="shared" si="50"/>
        <v>0</v>
      </c>
      <c r="H104" s="20">
        <f t="shared" si="51"/>
        <v>0</v>
      </c>
    </row>
    <row r="105" spans="1:8" s="1" customFormat="1" ht="20.149999999999999" customHeight="1" x14ac:dyDescent="0.25">
      <c r="A105" s="380" t="s">
        <v>270</v>
      </c>
      <c r="B105" s="114">
        <v>48240</v>
      </c>
      <c r="C105" s="114">
        <v>0</v>
      </c>
      <c r="D105" s="115">
        <f t="shared" si="49"/>
        <v>48240</v>
      </c>
      <c r="E105" s="114">
        <v>0</v>
      </c>
      <c r="F105" s="114">
        <v>0</v>
      </c>
      <c r="G105" s="19">
        <f t="shared" si="50"/>
        <v>0</v>
      </c>
      <c r="H105" s="20">
        <f t="shared" si="51"/>
        <v>48240</v>
      </c>
    </row>
    <row r="106" spans="1:8" s="1" customFormat="1" ht="20.149999999999999" customHeight="1" x14ac:dyDescent="0.25">
      <c r="A106" s="380" t="s">
        <v>271</v>
      </c>
      <c r="B106" s="114">
        <v>0</v>
      </c>
      <c r="C106" s="114">
        <v>0</v>
      </c>
      <c r="D106" s="115">
        <f t="shared" si="49"/>
        <v>0</v>
      </c>
      <c r="E106" s="114">
        <v>0</v>
      </c>
      <c r="F106" s="114">
        <v>0</v>
      </c>
      <c r="G106" s="19">
        <f t="shared" si="50"/>
        <v>0</v>
      </c>
      <c r="H106" s="20">
        <f t="shared" si="51"/>
        <v>0</v>
      </c>
    </row>
    <row r="107" spans="1:8" s="1" customFormat="1" ht="20.149999999999999" customHeight="1" x14ac:dyDescent="0.25">
      <c r="A107" s="380" t="s">
        <v>272</v>
      </c>
      <c r="B107" s="114">
        <v>101576</v>
      </c>
      <c r="C107" s="114">
        <v>0</v>
      </c>
      <c r="D107" s="115">
        <f t="shared" si="49"/>
        <v>101576</v>
      </c>
      <c r="E107" s="114">
        <v>0</v>
      </c>
      <c r="F107" s="114">
        <v>0</v>
      </c>
      <c r="G107" s="19">
        <f t="shared" si="50"/>
        <v>0</v>
      </c>
      <c r="H107" s="20">
        <f t="shared" si="51"/>
        <v>101576</v>
      </c>
    </row>
    <row r="108" spans="1:8" s="1" customFormat="1" ht="20.149999999999999" customHeight="1" x14ac:dyDescent="0.25">
      <c r="A108" s="380" t="s">
        <v>273</v>
      </c>
      <c r="B108" s="114">
        <v>11852</v>
      </c>
      <c r="C108" s="114">
        <v>0</v>
      </c>
      <c r="D108" s="115">
        <f t="shared" si="49"/>
        <v>11852</v>
      </c>
      <c r="E108" s="114">
        <v>2831</v>
      </c>
      <c r="F108" s="114">
        <v>0</v>
      </c>
      <c r="G108" s="19">
        <f t="shared" si="50"/>
        <v>2831</v>
      </c>
      <c r="H108" s="20">
        <f t="shared" si="51"/>
        <v>14683</v>
      </c>
    </row>
    <row r="109" spans="1:8" s="1" customFormat="1" ht="20.149999999999999" customHeight="1" x14ac:dyDescent="0.25">
      <c r="A109" s="380" t="s">
        <v>274</v>
      </c>
      <c r="B109" s="114">
        <v>0</v>
      </c>
      <c r="C109" s="114">
        <v>0</v>
      </c>
      <c r="D109" s="115">
        <f t="shared" si="49"/>
        <v>0</v>
      </c>
      <c r="E109" s="114">
        <v>0</v>
      </c>
      <c r="F109" s="114">
        <v>0</v>
      </c>
      <c r="G109" s="19">
        <f t="shared" si="50"/>
        <v>0</v>
      </c>
      <c r="H109" s="20">
        <f t="shared" si="51"/>
        <v>0</v>
      </c>
    </row>
    <row r="110" spans="1:8" s="1" customFormat="1" ht="20.149999999999999" customHeight="1" thickBot="1" x14ac:dyDescent="0.3">
      <c r="A110" s="16" t="s">
        <v>149</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49999999999999" customHeight="1" x14ac:dyDescent="0.25"/>
    <row r="112" spans="1:8" ht="20.149999999999999" customHeight="1" thickBot="1" x14ac:dyDescent="0.3"/>
    <row r="113" spans="1:14" s="1" customFormat="1" ht="20.149999999999999" customHeight="1" thickBot="1" x14ac:dyDescent="0.3">
      <c r="A113" s="525" t="s">
        <v>255</v>
      </c>
      <c r="B113" s="526"/>
      <c r="C113" s="526"/>
      <c r="D113" s="527"/>
      <c r="E113" s="22" t="s">
        <v>279</v>
      </c>
      <c r="F113" s="531" t="s">
        <v>280</v>
      </c>
      <c r="G113" s="532"/>
      <c r="H113" s="533"/>
    </row>
    <row r="114" spans="1:14" s="1" customFormat="1" ht="20.149999999999999" customHeight="1" x14ac:dyDescent="0.25">
      <c r="A114" s="528" t="s">
        <v>141</v>
      </c>
      <c r="B114" s="529"/>
      <c r="C114" s="529"/>
      <c r="D114" s="530"/>
      <c r="E114" s="26" t="s">
        <v>281</v>
      </c>
      <c r="F114" s="514" t="s">
        <v>282</v>
      </c>
      <c r="G114" s="515"/>
      <c r="H114" s="516"/>
    </row>
    <row r="115" spans="1:14" s="1" customFormat="1" ht="20.149999999999999" customHeight="1" x14ac:dyDescent="0.25">
      <c r="A115" s="522" t="s">
        <v>260</v>
      </c>
      <c r="B115" s="523"/>
      <c r="C115" s="523"/>
      <c r="D115" s="524"/>
      <c r="E115" s="26" t="s">
        <v>283</v>
      </c>
      <c r="F115" s="575" t="s">
        <v>284</v>
      </c>
      <c r="G115" s="576"/>
      <c r="H115" s="577"/>
      <c r="K115" s="517"/>
      <c r="L115" s="517"/>
      <c r="M115" s="517"/>
      <c r="N115" s="517"/>
    </row>
    <row r="116" spans="1:14" s="1" customFormat="1" ht="20.149999999999999" customHeight="1" x14ac:dyDescent="0.25">
      <c r="A116" s="519" t="s">
        <v>261</v>
      </c>
      <c r="B116" s="520"/>
      <c r="C116" s="520"/>
      <c r="D116" s="521"/>
      <c r="E116" s="26" t="s">
        <v>285</v>
      </c>
      <c r="F116" s="563" t="s">
        <v>286</v>
      </c>
      <c r="G116" s="564"/>
      <c r="H116" s="565"/>
      <c r="K116" s="381"/>
      <c r="L116" s="381"/>
      <c r="M116" s="381"/>
      <c r="N116" s="381"/>
    </row>
    <row r="117" spans="1:14" s="1" customFormat="1" ht="20.149999999999999" customHeight="1" x14ac:dyDescent="0.25">
      <c r="A117" s="519" t="s">
        <v>262</v>
      </c>
      <c r="B117" s="520"/>
      <c r="C117" s="520"/>
      <c r="D117" s="521"/>
      <c r="E117" s="26" t="s">
        <v>287</v>
      </c>
      <c r="F117" s="563" t="s">
        <v>288</v>
      </c>
      <c r="G117" s="564"/>
      <c r="H117" s="565"/>
      <c r="K117" s="381"/>
      <c r="L117" s="381"/>
      <c r="M117" s="381"/>
      <c r="N117" s="381"/>
    </row>
    <row r="118" spans="1:14" s="1" customFormat="1" ht="20.149999999999999" customHeight="1" x14ac:dyDescent="0.25">
      <c r="A118" s="508" t="s">
        <v>263</v>
      </c>
      <c r="B118" s="509"/>
      <c r="C118" s="509"/>
      <c r="D118" s="510"/>
      <c r="E118" s="26" t="s">
        <v>289</v>
      </c>
      <c r="F118" s="511" t="s">
        <v>290</v>
      </c>
      <c r="G118" s="512"/>
      <c r="H118" s="513"/>
      <c r="K118" s="381"/>
      <c r="L118" s="381"/>
      <c r="M118" s="381"/>
      <c r="N118" s="381"/>
    </row>
    <row r="119" spans="1:14" s="1" customFormat="1" ht="20.149999999999999" customHeight="1" x14ac:dyDescent="0.25">
      <c r="A119" s="519" t="s">
        <v>264</v>
      </c>
      <c r="B119" s="520"/>
      <c r="C119" s="520"/>
      <c r="D119" s="521"/>
      <c r="E119" s="26" t="s">
        <v>291</v>
      </c>
      <c r="F119" s="563" t="s">
        <v>292</v>
      </c>
      <c r="G119" s="564"/>
      <c r="H119" s="565"/>
      <c r="K119" s="381"/>
      <c r="L119" s="381"/>
      <c r="M119" s="381"/>
      <c r="N119" s="381"/>
    </row>
    <row r="120" spans="1:14" s="1" customFormat="1" ht="20.149999999999999" customHeight="1" x14ac:dyDescent="0.25">
      <c r="A120" s="519" t="s">
        <v>265</v>
      </c>
      <c r="B120" s="520"/>
      <c r="C120" s="520"/>
      <c r="D120" s="521"/>
      <c r="E120" s="26" t="s">
        <v>293</v>
      </c>
      <c r="F120" s="563" t="s">
        <v>294</v>
      </c>
      <c r="G120" s="564"/>
      <c r="H120" s="565"/>
      <c r="K120" s="381"/>
      <c r="L120" s="381"/>
      <c r="M120" s="381"/>
      <c r="N120" s="381"/>
    </row>
    <row r="121" spans="1:14" s="1" customFormat="1" ht="20.149999999999999" customHeight="1" x14ac:dyDescent="0.25">
      <c r="A121" s="519" t="s">
        <v>266</v>
      </c>
      <c r="B121" s="520"/>
      <c r="C121" s="520"/>
      <c r="D121" s="521"/>
      <c r="E121" s="26" t="s">
        <v>295</v>
      </c>
      <c r="F121" s="563" t="s">
        <v>296</v>
      </c>
      <c r="G121" s="564"/>
      <c r="H121" s="565"/>
      <c r="K121" s="381"/>
      <c r="L121" s="381"/>
      <c r="M121" s="381"/>
      <c r="N121" s="381"/>
    </row>
    <row r="122" spans="1:14" s="1" customFormat="1" ht="20.149999999999999" customHeight="1" x14ac:dyDescent="0.25">
      <c r="A122" s="519" t="s">
        <v>267</v>
      </c>
      <c r="B122" s="520"/>
      <c r="C122" s="520"/>
      <c r="D122" s="521"/>
      <c r="E122" s="26" t="s">
        <v>297</v>
      </c>
      <c r="F122" s="563" t="s">
        <v>298</v>
      </c>
      <c r="G122" s="564"/>
      <c r="H122" s="565"/>
      <c r="K122" s="381"/>
      <c r="L122" s="381"/>
      <c r="M122" s="381"/>
      <c r="N122" s="381"/>
    </row>
    <row r="123" spans="1:14" s="1" customFormat="1" ht="20.149999999999999" customHeight="1" x14ac:dyDescent="0.25">
      <c r="A123" s="519" t="s">
        <v>299</v>
      </c>
      <c r="B123" s="520"/>
      <c r="C123" s="520"/>
      <c r="D123" s="521"/>
      <c r="E123" s="27"/>
      <c r="F123" s="572"/>
      <c r="G123" s="573"/>
      <c r="H123" s="574"/>
      <c r="K123" s="381"/>
      <c r="L123" s="381"/>
      <c r="M123" s="381"/>
      <c r="N123" s="381"/>
    </row>
    <row r="124" spans="1:14" s="1" customFormat="1" ht="20.149999999999999" customHeight="1" x14ac:dyDescent="0.25">
      <c r="A124" s="551" t="s">
        <v>300</v>
      </c>
      <c r="B124" s="552"/>
      <c r="C124" s="552"/>
      <c r="D124" s="553"/>
      <c r="E124" s="26" t="s">
        <v>301</v>
      </c>
      <c r="F124" s="563" t="s">
        <v>302</v>
      </c>
      <c r="G124" s="564"/>
      <c r="H124" s="565"/>
      <c r="K124" s="23"/>
      <c r="L124" s="23"/>
      <c r="M124" s="23"/>
      <c r="N124" s="23"/>
    </row>
    <row r="125" spans="1:14" s="1" customFormat="1" ht="20.149999999999999" customHeight="1" x14ac:dyDescent="0.25">
      <c r="A125" s="551" t="s">
        <v>303</v>
      </c>
      <c r="B125" s="552"/>
      <c r="C125" s="552"/>
      <c r="D125" s="553"/>
      <c r="E125" s="26" t="s">
        <v>304</v>
      </c>
      <c r="F125" s="563" t="s">
        <v>305</v>
      </c>
      <c r="G125" s="564"/>
      <c r="H125" s="565"/>
      <c r="K125" s="23"/>
      <c r="L125" s="23"/>
      <c r="M125" s="23"/>
      <c r="N125" s="23"/>
    </row>
    <row r="126" spans="1:14" s="1" customFormat="1" ht="20.149999999999999" customHeight="1" x14ac:dyDescent="0.25">
      <c r="A126" s="551" t="s">
        <v>306</v>
      </c>
      <c r="B126" s="552"/>
      <c r="C126" s="552"/>
      <c r="D126" s="553"/>
      <c r="E126" s="26" t="s">
        <v>307</v>
      </c>
      <c r="F126" s="563" t="s">
        <v>308</v>
      </c>
      <c r="G126" s="564"/>
      <c r="H126" s="565"/>
      <c r="K126" s="23"/>
      <c r="L126" s="23"/>
      <c r="M126" s="23"/>
      <c r="N126" s="23"/>
    </row>
    <row r="127" spans="1:14" s="1" customFormat="1" ht="20.149999999999999" customHeight="1" x14ac:dyDescent="0.25">
      <c r="A127" s="519" t="s">
        <v>269</v>
      </c>
      <c r="B127" s="520"/>
      <c r="C127" s="520"/>
      <c r="D127" s="521"/>
      <c r="E127" s="27"/>
      <c r="F127" s="569"/>
      <c r="G127" s="570"/>
      <c r="H127" s="571"/>
      <c r="K127" s="381"/>
      <c r="L127" s="381"/>
      <c r="M127" s="381"/>
      <c r="N127" s="381"/>
    </row>
    <row r="128" spans="1:14" s="1" customFormat="1" ht="20.149999999999999" customHeight="1" x14ac:dyDescent="0.25">
      <c r="A128" s="551" t="s">
        <v>309</v>
      </c>
      <c r="B128" s="552"/>
      <c r="C128" s="552"/>
      <c r="D128" s="553"/>
      <c r="E128" s="26" t="s">
        <v>310</v>
      </c>
      <c r="F128" s="563" t="s">
        <v>311</v>
      </c>
      <c r="G128" s="564"/>
      <c r="H128" s="565"/>
      <c r="K128" s="23"/>
      <c r="L128" s="23"/>
      <c r="M128" s="23"/>
      <c r="N128" s="23"/>
    </row>
    <row r="129" spans="1:14" s="1" customFormat="1" ht="20.149999999999999" customHeight="1" x14ac:dyDescent="0.25">
      <c r="A129" s="551" t="s">
        <v>312</v>
      </c>
      <c r="B129" s="552"/>
      <c r="C129" s="552"/>
      <c r="D129" s="553"/>
      <c r="E129" s="26" t="s">
        <v>313</v>
      </c>
      <c r="F129" s="563" t="s">
        <v>314</v>
      </c>
      <c r="G129" s="564"/>
      <c r="H129" s="565"/>
      <c r="K129" s="23"/>
      <c r="L129" s="23"/>
      <c r="M129" s="23"/>
      <c r="N129" s="23"/>
    </row>
    <row r="130" spans="1:14" s="1" customFormat="1" ht="20.149999999999999" customHeight="1" x14ac:dyDescent="0.25">
      <c r="A130" s="551" t="s">
        <v>315</v>
      </c>
      <c r="B130" s="552"/>
      <c r="C130" s="552"/>
      <c r="D130" s="553"/>
      <c r="E130" s="26" t="s">
        <v>316</v>
      </c>
      <c r="F130" s="563" t="s">
        <v>317</v>
      </c>
      <c r="G130" s="564"/>
      <c r="H130" s="565"/>
      <c r="K130" s="23"/>
      <c r="L130" s="23"/>
      <c r="M130" s="23"/>
      <c r="N130" s="23"/>
    </row>
    <row r="131" spans="1:14" s="1" customFormat="1" ht="20.149999999999999" customHeight="1" x14ac:dyDescent="0.25">
      <c r="A131" s="557" t="s">
        <v>318</v>
      </c>
      <c r="B131" s="558"/>
      <c r="C131" s="558"/>
      <c r="D131" s="559"/>
      <c r="E131" s="26" t="s">
        <v>319</v>
      </c>
      <c r="F131" s="566" t="s">
        <v>320</v>
      </c>
      <c r="G131" s="567"/>
      <c r="H131" s="568"/>
      <c r="K131" s="24"/>
      <c r="L131" s="24"/>
      <c r="M131" s="24"/>
      <c r="N131" s="24"/>
    </row>
    <row r="132" spans="1:14" s="1" customFormat="1" ht="20.149999999999999" customHeight="1" x14ac:dyDescent="0.25">
      <c r="A132" s="519" t="s">
        <v>270</v>
      </c>
      <c r="B132" s="520"/>
      <c r="C132" s="520"/>
      <c r="D132" s="521"/>
      <c r="E132" s="26" t="s">
        <v>281</v>
      </c>
      <c r="F132" s="563" t="s">
        <v>321</v>
      </c>
      <c r="G132" s="564"/>
      <c r="H132" s="565"/>
      <c r="K132" s="381"/>
      <c r="L132" s="381"/>
      <c r="M132" s="381"/>
      <c r="N132" s="381"/>
    </row>
    <row r="133" spans="1:14" s="1" customFormat="1" ht="20.149999999999999" customHeight="1" x14ac:dyDescent="0.25">
      <c r="A133" s="519" t="s">
        <v>271</v>
      </c>
      <c r="B133" s="520"/>
      <c r="C133" s="520"/>
      <c r="D133" s="521"/>
      <c r="E133" s="26" t="s">
        <v>281</v>
      </c>
      <c r="F133" s="563" t="s">
        <v>322</v>
      </c>
      <c r="G133" s="564"/>
      <c r="H133" s="565"/>
      <c r="K133" s="381"/>
      <c r="L133" s="381"/>
      <c r="M133" s="381"/>
      <c r="N133" s="381"/>
    </row>
    <row r="134" spans="1:14" s="1" customFormat="1" ht="20.149999999999999" customHeight="1" x14ac:dyDescent="0.25">
      <c r="A134" s="519" t="s">
        <v>272</v>
      </c>
      <c r="B134" s="520"/>
      <c r="C134" s="520"/>
      <c r="D134" s="521"/>
      <c r="E134" s="26" t="s">
        <v>323</v>
      </c>
      <c r="F134" s="563" t="s">
        <v>324</v>
      </c>
      <c r="G134" s="564"/>
      <c r="H134" s="565"/>
      <c r="K134" s="381"/>
      <c r="L134" s="381"/>
      <c r="M134" s="381"/>
      <c r="N134" s="381"/>
    </row>
    <row r="135" spans="1:14" s="1" customFormat="1" ht="20.149999999999999" customHeight="1" thickBot="1" x14ac:dyDescent="0.3">
      <c r="A135" s="554" t="s">
        <v>274</v>
      </c>
      <c r="B135" s="555"/>
      <c r="C135" s="555"/>
      <c r="D135" s="556"/>
      <c r="E135" s="25" t="s">
        <v>281</v>
      </c>
      <c r="F135" s="560" t="s">
        <v>325</v>
      </c>
      <c r="G135" s="561"/>
      <c r="H135" s="562"/>
      <c r="K135" s="381"/>
      <c r="L135" s="381"/>
      <c r="M135" s="381"/>
      <c r="N135" s="381"/>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8"/>
  </cols>
  <sheetData>
    <row r="1" spans="1:2" x14ac:dyDescent="0.25">
      <c r="A1" s="8" t="s">
        <v>326</v>
      </c>
      <c r="B1" s="8" t="s">
        <v>327</v>
      </c>
    </row>
    <row r="2" spans="1:2" x14ac:dyDescent="0.25">
      <c r="A2" s="8">
        <v>1</v>
      </c>
      <c r="B2" s="8" t="s">
        <v>328</v>
      </c>
    </row>
    <row r="3" spans="1:2" x14ac:dyDescent="0.25">
      <c r="A3" s="8">
        <v>2</v>
      </c>
      <c r="B3" s="8" t="s">
        <v>329</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zoomScaleNormal="100" workbookViewId="0">
      <selection activeCell="P20" sqref="P20"/>
    </sheetView>
  </sheetViews>
  <sheetFormatPr defaultColWidth="8.54296875" defaultRowHeight="12.5" x14ac:dyDescent="0.25"/>
  <cols>
    <col min="5" max="5" width="17.453125" customWidth="1"/>
  </cols>
  <sheetData>
    <row r="1" spans="1:19" s="2" customFormat="1" ht="30" customHeight="1" x14ac:dyDescent="0.25">
      <c r="A1" s="403" t="s">
        <v>60</v>
      </c>
      <c r="B1" s="403"/>
      <c r="C1" s="403"/>
      <c r="D1" s="403"/>
      <c r="E1" s="403"/>
      <c r="F1" s="403"/>
      <c r="G1" s="403"/>
      <c r="H1" s="403"/>
      <c r="I1" s="403"/>
      <c r="J1" s="403"/>
      <c r="K1" s="403"/>
      <c r="L1" s="403"/>
      <c r="M1" s="403"/>
      <c r="N1" s="403"/>
      <c r="O1" s="403"/>
      <c r="P1" s="403"/>
      <c r="Q1" s="403"/>
    </row>
    <row r="2" spans="1:19" s="2" customFormat="1" ht="30" customHeight="1" thickBot="1" x14ac:dyDescent="0.3">
      <c r="A2" s="405" t="s">
        <v>61</v>
      </c>
      <c r="B2" s="405"/>
      <c r="C2" s="405"/>
      <c r="D2" s="405"/>
      <c r="E2" s="405"/>
      <c r="F2" s="373"/>
      <c r="G2" s="373"/>
      <c r="H2" s="373"/>
      <c r="I2" s="373"/>
      <c r="J2" s="373"/>
      <c r="K2" s="373"/>
      <c r="L2" s="373"/>
      <c r="M2" s="373"/>
      <c r="N2" s="373"/>
      <c r="O2" s="373"/>
      <c r="P2" s="373"/>
    </row>
    <row r="3" spans="1:19" s="2" customFormat="1" ht="30" customHeight="1" thickBot="1" x14ac:dyDescent="0.3">
      <c r="A3" s="404" t="s">
        <v>62</v>
      </c>
      <c r="B3" s="404"/>
      <c r="C3" s="415" t="s">
        <v>337</v>
      </c>
      <c r="D3" s="416"/>
      <c r="E3" s="416"/>
      <c r="F3" s="416"/>
      <c r="G3" s="416"/>
      <c r="H3" s="416"/>
      <c r="I3" s="416"/>
      <c r="J3" s="416"/>
      <c r="K3" s="416"/>
      <c r="L3" s="416"/>
      <c r="M3" s="416"/>
      <c r="N3" s="416"/>
      <c r="O3" s="416"/>
      <c r="P3" s="416"/>
      <c r="Q3" s="416"/>
      <c r="R3" s="416"/>
      <c r="S3" s="417"/>
    </row>
    <row r="4" spans="1:19" s="5" customFormat="1" ht="30" customHeight="1" thickBot="1" x14ac:dyDescent="0.3">
      <c r="A4" s="404" t="s">
        <v>63</v>
      </c>
      <c r="B4" s="404"/>
      <c r="C4" s="404"/>
      <c r="D4" s="410"/>
      <c r="E4" s="411" t="s">
        <v>358</v>
      </c>
      <c r="F4" s="412"/>
      <c r="G4" s="412"/>
      <c r="H4" s="413"/>
      <c r="I4" s="4"/>
      <c r="J4" s="4"/>
      <c r="K4" s="4"/>
      <c r="L4" s="4"/>
      <c r="M4" s="4"/>
      <c r="N4" s="4"/>
      <c r="O4" s="4"/>
      <c r="P4" s="4"/>
      <c r="Q4" s="4"/>
      <c r="R4" s="4"/>
      <c r="S4" s="4"/>
    </row>
    <row r="5" spans="1:19" s="5" customFormat="1" ht="30" customHeight="1" thickBot="1" x14ac:dyDescent="0.3">
      <c r="A5" s="404" t="s">
        <v>64</v>
      </c>
      <c r="B5" s="404"/>
      <c r="C5" s="404"/>
      <c r="D5" s="404"/>
      <c r="E5" s="404"/>
      <c r="F5" s="404"/>
      <c r="G5" s="404"/>
      <c r="H5" s="4"/>
      <c r="I5" s="4"/>
      <c r="J5" s="4"/>
      <c r="K5" s="4"/>
      <c r="L5" s="4"/>
      <c r="M5" s="4"/>
      <c r="N5" s="4"/>
      <c r="O5" s="4"/>
      <c r="P5" s="4"/>
      <c r="Q5" s="4"/>
      <c r="R5" s="4"/>
      <c r="S5" s="4"/>
    </row>
    <row r="6" spans="1:19" s="5" customFormat="1" ht="30" customHeight="1" thickBot="1" x14ac:dyDescent="0.3">
      <c r="A6" s="406" t="s">
        <v>65</v>
      </c>
      <c r="B6" s="406"/>
      <c r="C6" s="406"/>
      <c r="D6" s="406"/>
      <c r="E6" s="406"/>
      <c r="F6" s="406"/>
      <c r="G6" s="406"/>
      <c r="H6" s="407" t="s">
        <v>359</v>
      </c>
      <c r="I6" s="408"/>
      <c r="J6" s="408"/>
      <c r="K6" s="408"/>
      <c r="L6" s="408"/>
      <c r="M6" s="408"/>
      <c r="N6" s="408"/>
      <c r="O6" s="408"/>
      <c r="P6" s="408"/>
      <c r="Q6" s="409"/>
      <c r="R6" s="4"/>
      <c r="S6" s="4"/>
    </row>
    <row r="7" spans="1:19" s="5" customFormat="1" ht="30" customHeight="1" thickBot="1" x14ac:dyDescent="0.3">
      <c r="A7" s="406" t="s">
        <v>66</v>
      </c>
      <c r="B7" s="406"/>
      <c r="C7" s="406"/>
      <c r="D7" s="406"/>
      <c r="E7" s="406"/>
      <c r="F7" s="406"/>
      <c r="G7" s="406"/>
      <c r="H7" s="414" t="s">
        <v>360</v>
      </c>
      <c r="I7" s="408"/>
      <c r="J7" s="408"/>
      <c r="K7" s="408"/>
      <c r="L7" s="408"/>
      <c r="M7" s="408"/>
      <c r="N7" s="408"/>
      <c r="O7" s="408"/>
      <c r="P7" s="408"/>
      <c r="Q7" s="409"/>
      <c r="R7" s="4"/>
      <c r="S7" s="4"/>
    </row>
    <row r="8" spans="1:19" s="5" customFormat="1" ht="30" customHeight="1" thickBot="1" x14ac:dyDescent="0.3">
      <c r="A8" s="406" t="s">
        <v>67</v>
      </c>
      <c r="B8" s="406"/>
      <c r="C8" s="406"/>
      <c r="D8" s="406"/>
      <c r="E8" s="406"/>
      <c r="F8" s="406"/>
      <c r="G8" s="406"/>
      <c r="H8" s="407" t="s">
        <v>361</v>
      </c>
      <c r="I8" s="408"/>
      <c r="J8" s="408"/>
      <c r="K8" s="408"/>
      <c r="L8" s="408"/>
      <c r="M8" s="408"/>
      <c r="N8" s="408"/>
      <c r="O8" s="408"/>
      <c r="P8" s="408"/>
      <c r="Q8" s="409"/>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80" zoomScaleNormal="80" workbookViewId="0">
      <selection activeCell="E26" sqref="E26"/>
    </sheetView>
  </sheetViews>
  <sheetFormatPr defaultRowHeight="12.5" x14ac:dyDescent="0.25"/>
  <cols>
    <col min="1" max="1" width="54.453125" customWidth="1"/>
    <col min="2" max="6" width="20.54296875" customWidth="1"/>
  </cols>
  <sheetData>
    <row r="1" spans="1:6" ht="23" x14ac:dyDescent="0.5">
      <c r="A1" s="98" t="s">
        <v>68</v>
      </c>
      <c r="B1" s="99"/>
      <c r="C1" s="99"/>
      <c r="D1" s="99"/>
      <c r="E1" s="99"/>
      <c r="F1" s="170"/>
    </row>
    <row r="2" spans="1:6" ht="22.5" customHeight="1" x14ac:dyDescent="0.25">
      <c r="A2" s="179" t="str">
        <f>'Institution ID'!C3</f>
        <v>Longwood University</v>
      </c>
      <c r="B2" s="179"/>
      <c r="C2" s="179"/>
      <c r="D2" s="179"/>
      <c r="E2" s="179"/>
      <c r="F2" s="170"/>
    </row>
    <row r="3" spans="1:6" ht="15.5" x14ac:dyDescent="0.35">
      <c r="A3" s="100"/>
      <c r="B3" s="100"/>
      <c r="C3" s="100"/>
      <c r="D3" s="100"/>
      <c r="E3" s="100"/>
      <c r="F3" s="170"/>
    </row>
    <row r="4" spans="1:6" ht="85.5" customHeight="1" x14ac:dyDescent="0.25">
      <c r="A4" s="424" t="s">
        <v>69</v>
      </c>
      <c r="B4" s="425"/>
      <c r="C4" s="425"/>
      <c r="D4" s="425"/>
      <c r="E4" s="425"/>
      <c r="F4" s="425"/>
    </row>
    <row r="5" spans="1:6" ht="15.5" x14ac:dyDescent="0.35">
      <c r="A5" s="170"/>
      <c r="B5" s="101"/>
      <c r="C5" s="101"/>
      <c r="D5" s="101"/>
      <c r="E5" s="101"/>
      <c r="F5" s="101"/>
    </row>
    <row r="6" spans="1:6" ht="18" x14ac:dyDescent="0.4">
      <c r="A6" s="170"/>
      <c r="B6" s="418" t="s">
        <v>70</v>
      </c>
      <c r="C6" s="419"/>
      <c r="D6" s="419"/>
      <c r="E6" s="419"/>
      <c r="F6" s="420"/>
    </row>
    <row r="7" spans="1:6" ht="15.5" x14ac:dyDescent="0.35">
      <c r="B7" s="180" t="s">
        <v>71</v>
      </c>
      <c r="C7" s="421" t="s">
        <v>72</v>
      </c>
      <c r="D7" s="422"/>
      <c r="E7" s="422" t="s">
        <v>73</v>
      </c>
      <c r="F7" s="423"/>
    </row>
    <row r="8" spans="1:6" ht="31" x14ac:dyDescent="0.35">
      <c r="B8" s="181" t="s">
        <v>74</v>
      </c>
      <c r="C8" s="182" t="s">
        <v>75</v>
      </c>
      <c r="D8" s="183" t="s">
        <v>76</v>
      </c>
      <c r="E8" s="182" t="s">
        <v>75</v>
      </c>
      <c r="F8" s="183" t="s">
        <v>76</v>
      </c>
    </row>
    <row r="9" spans="1:6" ht="15.5" x14ac:dyDescent="0.35">
      <c r="A9" s="119" t="s">
        <v>77</v>
      </c>
      <c r="B9" s="127">
        <v>8660</v>
      </c>
      <c r="C9" s="130">
        <v>8915</v>
      </c>
      <c r="D9" s="120">
        <f>IF(C9=0,"%",C9/B9-1)</f>
        <v>2.9445727482678929E-2</v>
      </c>
      <c r="E9" s="130">
        <v>9175</v>
      </c>
      <c r="F9" s="120">
        <f>IF(E9=0,"%",E9/C9-1)</f>
        <v>2.9164329781267595E-2</v>
      </c>
    </row>
    <row r="10" spans="1:6" ht="15.5" x14ac:dyDescent="0.35">
      <c r="A10" s="117" t="s">
        <v>78</v>
      </c>
      <c r="B10" s="128">
        <v>0</v>
      </c>
      <c r="C10" s="131">
        <v>0</v>
      </c>
      <c r="D10" s="121" t="str">
        <f t="shared" ref="D10:D15" si="0">IF(C10=0,"%",C10/B10-1)</f>
        <v>%</v>
      </c>
      <c r="E10" s="131">
        <v>0</v>
      </c>
      <c r="F10" s="121" t="str">
        <f t="shared" ref="F10:F15" si="1">IF(E10=0,"%",E10/C10-1)</f>
        <v>%</v>
      </c>
    </row>
    <row r="11" spans="1:6" ht="15.5" x14ac:dyDescent="0.35">
      <c r="A11" s="118" t="s">
        <v>79</v>
      </c>
      <c r="B11" s="129">
        <v>6540</v>
      </c>
      <c r="C11" s="132">
        <v>6860</v>
      </c>
      <c r="D11" s="122">
        <f t="shared" si="0"/>
        <v>4.8929663608562768E-2</v>
      </c>
      <c r="E11" s="132">
        <v>7195</v>
      </c>
      <c r="F11" s="122">
        <f t="shared" si="1"/>
        <v>4.8833819241982601E-2</v>
      </c>
    </row>
    <row r="12" spans="1:6" ht="15.5" x14ac:dyDescent="0.35">
      <c r="A12" s="124" t="s">
        <v>80</v>
      </c>
      <c r="B12" s="125">
        <f>SUM(B9:B11)</f>
        <v>15200</v>
      </c>
      <c r="C12" s="126">
        <f>SUM(C9:C11)</f>
        <v>15775</v>
      </c>
      <c r="D12" s="122">
        <f t="shared" si="0"/>
        <v>3.7828947368421018E-2</v>
      </c>
      <c r="E12" s="126">
        <f>SUM(E9:E11)</f>
        <v>16370</v>
      </c>
      <c r="F12" s="122">
        <f>IF(E12=0,"%",E12/C12-1)</f>
        <v>3.7717908082408824E-2</v>
      </c>
    </row>
    <row r="13" spans="1:6" ht="15.5" x14ac:dyDescent="0.35">
      <c r="A13" s="117" t="s">
        <v>81</v>
      </c>
      <c r="B13" s="127">
        <v>20870</v>
      </c>
      <c r="C13" s="130">
        <v>21078</v>
      </c>
      <c r="D13" s="121">
        <f t="shared" si="0"/>
        <v>9.9664590321035806E-3</v>
      </c>
      <c r="E13" s="391">
        <v>21288</v>
      </c>
      <c r="F13" s="121">
        <f t="shared" si="1"/>
        <v>9.9629945915171714E-3</v>
      </c>
    </row>
    <row r="14" spans="1:6" ht="15.5" x14ac:dyDescent="0.35">
      <c r="A14" s="117" t="s">
        <v>82</v>
      </c>
      <c r="B14" s="131">
        <v>660</v>
      </c>
      <c r="C14" s="131">
        <v>660</v>
      </c>
      <c r="D14" s="121">
        <f t="shared" si="0"/>
        <v>0</v>
      </c>
      <c r="E14" s="131">
        <v>660</v>
      </c>
      <c r="F14" s="121">
        <f t="shared" si="1"/>
        <v>0</v>
      </c>
    </row>
    <row r="15" spans="1:6" ht="15.5" x14ac:dyDescent="0.35">
      <c r="A15" s="118" t="s">
        <v>83</v>
      </c>
      <c r="B15" s="128">
        <v>6540</v>
      </c>
      <c r="C15" s="131">
        <v>6860</v>
      </c>
      <c r="D15" s="122">
        <f t="shared" si="0"/>
        <v>4.8929663608562768E-2</v>
      </c>
      <c r="E15" s="392">
        <v>7195</v>
      </c>
      <c r="F15" s="122">
        <f t="shared" si="1"/>
        <v>4.8833819241982601E-2</v>
      </c>
    </row>
    <row r="16" spans="1:6" ht="15.5" x14ac:dyDescent="0.35">
      <c r="A16" s="124" t="s">
        <v>84</v>
      </c>
      <c r="B16" s="125">
        <f>SUM(B13:B15)</f>
        <v>28070</v>
      </c>
      <c r="C16" s="126">
        <f>SUM(C13:C15)</f>
        <v>28598</v>
      </c>
      <c r="D16" s="122">
        <f t="shared" ref="D16" si="2">IF(C16=0,"%",C16/B16-1)</f>
        <v>1.8810117563234696E-2</v>
      </c>
      <c r="E16" s="126">
        <f>SUM(E13:E15)</f>
        <v>29143</v>
      </c>
      <c r="F16" s="122">
        <f>IF(E16=0,"%",E16/C16-1)</f>
        <v>1.9057276732638684E-2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opLeftCell="A4" zoomScaleNormal="100" zoomScalePageLayoutView="150" workbookViewId="0">
      <selection activeCell="E37" sqref="E37"/>
    </sheetView>
  </sheetViews>
  <sheetFormatPr defaultColWidth="8.54296875" defaultRowHeight="12.5" x14ac:dyDescent="0.25"/>
  <cols>
    <col min="1" max="1" width="39.54296875" customWidth="1"/>
    <col min="2" max="2" width="19.1796875" bestFit="1" customWidth="1"/>
    <col min="3" max="3" width="20.54296875" customWidth="1"/>
    <col min="4" max="4" width="7.453125" style="159" bestFit="1" customWidth="1"/>
    <col min="5" max="5" width="20.54296875" customWidth="1"/>
    <col min="6" max="6" width="7.453125" style="159" customWidth="1"/>
    <col min="7" max="7" width="20.54296875" customWidth="1"/>
    <col min="8" max="8" width="7.453125" style="159" customWidth="1"/>
    <col min="9" max="9" width="23.1796875" bestFit="1" customWidth="1"/>
    <col min="10" max="10" width="7.453125" style="159" customWidth="1"/>
    <col min="11" max="11" width="23.1796875" bestFit="1" customWidth="1"/>
    <col min="12" max="12" width="7.453125" style="159" customWidth="1"/>
    <col min="13" max="13" width="23.1796875" bestFit="1" customWidth="1"/>
    <col min="14" max="14" width="7.453125" style="159" customWidth="1"/>
    <col min="15" max="15" width="23.1796875" bestFit="1" customWidth="1"/>
    <col min="16" max="16" width="7.453125" style="159" customWidth="1"/>
    <col min="17" max="17" width="15.1796875" bestFit="1" customWidth="1"/>
  </cols>
  <sheetData>
    <row r="1" spans="1:18" s="1" customFormat="1" ht="20.149999999999999" customHeight="1" x14ac:dyDescent="0.25">
      <c r="A1" s="57" t="s">
        <v>85</v>
      </c>
      <c r="B1" s="57"/>
      <c r="C1" s="57"/>
      <c r="D1" s="154"/>
      <c r="E1" s="57"/>
      <c r="F1" s="154"/>
      <c r="G1" s="57"/>
      <c r="H1" s="154"/>
      <c r="J1" s="154"/>
      <c r="L1" s="154"/>
      <c r="N1" s="154"/>
      <c r="P1" s="154"/>
    </row>
    <row r="2" spans="1:18" s="1" customFormat="1" ht="20.149999999999999" customHeight="1" x14ac:dyDescent="0.25">
      <c r="A2" s="426" t="str">
        <f>'Institution ID'!C3</f>
        <v>Longwood University</v>
      </c>
      <c r="B2" s="426"/>
      <c r="C2" s="426"/>
      <c r="D2" s="426"/>
      <c r="E2" s="426"/>
      <c r="F2" s="426"/>
      <c r="G2" s="426"/>
      <c r="H2" s="374"/>
    </row>
    <row r="3" spans="1:18" s="2" customFormat="1" ht="147" customHeight="1" x14ac:dyDescent="0.25">
      <c r="A3" s="428" t="s">
        <v>86</v>
      </c>
      <c r="B3" s="429"/>
      <c r="C3" s="429"/>
      <c r="D3" s="429"/>
      <c r="E3" s="429"/>
      <c r="F3" s="429"/>
      <c r="G3" s="430"/>
      <c r="H3" s="153"/>
      <c r="I3" s="431" t="s">
        <v>87</v>
      </c>
      <c r="J3" s="432"/>
      <c r="K3" s="432"/>
      <c r="L3" s="432"/>
      <c r="M3" s="432"/>
      <c r="N3" s="432"/>
      <c r="O3" s="433"/>
    </row>
    <row r="4" spans="1:18" ht="15" customHeight="1" x14ac:dyDescent="0.3">
      <c r="A4" s="427" t="s">
        <v>88</v>
      </c>
      <c r="B4" s="104" t="s">
        <v>89</v>
      </c>
      <c r="C4" s="104" t="s">
        <v>90</v>
      </c>
      <c r="D4" s="155"/>
      <c r="E4" s="104" t="s">
        <v>91</v>
      </c>
      <c r="F4" s="155"/>
      <c r="G4" s="104" t="s">
        <v>92</v>
      </c>
      <c r="H4" s="155"/>
      <c r="I4" s="104" t="s">
        <v>93</v>
      </c>
      <c r="J4" s="155"/>
      <c r="K4" s="104" t="s">
        <v>94</v>
      </c>
      <c r="L4" s="155"/>
      <c r="M4" s="137" t="s">
        <v>95</v>
      </c>
      <c r="N4" s="155"/>
      <c r="O4" s="104" t="s">
        <v>96</v>
      </c>
      <c r="P4" s="155"/>
    </row>
    <row r="5" spans="1:18" ht="30" customHeight="1" x14ac:dyDescent="0.25">
      <c r="A5" s="427"/>
      <c r="B5" s="105" t="s">
        <v>97</v>
      </c>
      <c r="C5" s="105" t="s">
        <v>97</v>
      </c>
      <c r="D5" s="160" t="s">
        <v>98</v>
      </c>
      <c r="E5" s="105" t="s">
        <v>99</v>
      </c>
      <c r="F5" s="160" t="s">
        <v>98</v>
      </c>
      <c r="G5" s="105" t="s">
        <v>99</v>
      </c>
      <c r="H5" s="160" t="s">
        <v>98</v>
      </c>
      <c r="I5" s="105" t="s">
        <v>100</v>
      </c>
      <c r="J5" s="160" t="s">
        <v>98</v>
      </c>
      <c r="K5" s="105" t="s">
        <v>100</v>
      </c>
      <c r="L5" s="160" t="s">
        <v>98</v>
      </c>
      <c r="M5" s="105" t="s">
        <v>100</v>
      </c>
      <c r="N5" s="160" t="s">
        <v>98</v>
      </c>
      <c r="O5" s="105" t="s">
        <v>100</v>
      </c>
      <c r="P5" s="160" t="s">
        <v>98</v>
      </c>
      <c r="Q5" s="134" t="s">
        <v>101</v>
      </c>
      <c r="R5" s="161" t="s">
        <v>102</v>
      </c>
    </row>
    <row r="6" spans="1:18" ht="15" customHeight="1" x14ac:dyDescent="0.3">
      <c r="A6" s="106" t="s">
        <v>103</v>
      </c>
      <c r="B6" s="106"/>
      <c r="C6" s="106"/>
      <c r="D6" s="156"/>
      <c r="E6" s="106"/>
      <c r="F6" s="156"/>
      <c r="G6" s="106"/>
      <c r="H6" s="156"/>
      <c r="J6" s="156"/>
      <c r="L6" s="156"/>
      <c r="N6" s="156"/>
      <c r="O6" s="123"/>
      <c r="P6" s="156"/>
      <c r="Q6" s="133"/>
      <c r="R6" s="162"/>
    </row>
    <row r="7" spans="1:18" ht="15" customHeight="1" x14ac:dyDescent="0.25">
      <c r="A7" s="107" t="s">
        <v>104</v>
      </c>
      <c r="B7" s="108">
        <f>24309372-1676316</f>
        <v>22633056</v>
      </c>
      <c r="C7" s="108">
        <v>23122660</v>
      </c>
      <c r="D7" s="156">
        <f>IF(B7=0,"%",C7/B7-1)</f>
        <v>2.1632253284753045E-2</v>
      </c>
      <c r="E7" s="108">
        <v>22953085</v>
      </c>
      <c r="F7" s="156">
        <f>IF(C7=0,"%",E7/C7-1)</f>
        <v>-7.3337150656541672E-3</v>
      </c>
      <c r="G7" s="108">
        <v>22837400</v>
      </c>
      <c r="H7" s="156">
        <f>IF(E7=0,"%",G7/E7-1)</f>
        <v>-5.0400632420435354E-3</v>
      </c>
      <c r="I7" s="108">
        <v>22010975</v>
      </c>
      <c r="J7" s="156">
        <f>IF(G7=0,"%",I7/G7-1)</f>
        <v>-3.6187350574058308E-2</v>
      </c>
      <c r="K7" s="108">
        <v>21625625</v>
      </c>
      <c r="L7" s="156">
        <f>IF(I7=0,"%",K7/I7-1)</f>
        <v>-1.7507175397727726E-2</v>
      </c>
      <c r="M7" s="138">
        <v>21598100</v>
      </c>
      <c r="N7" s="156">
        <f>IF(K7=0,"%",M7/K7-1)</f>
        <v>-1.2727955839426652E-3</v>
      </c>
      <c r="O7" s="108">
        <v>22488075</v>
      </c>
      <c r="P7" s="156">
        <f>IF(M7=0,"%",O7/M7-1)</f>
        <v>4.1206170913182127E-2</v>
      </c>
      <c r="Q7" s="133" t="str">
        <f t="shared" ref="Q7:Q26" si="0">IF(O13=0,"%",O13/B13-1)</f>
        <v>%</v>
      </c>
      <c r="R7" s="162">
        <f t="shared" ref="R7:R26" si="1">IF(B7=0,"%",(O7/B7)^(1/7)-1)</f>
        <v>-9.1762498118230784E-4</v>
      </c>
    </row>
    <row r="8" spans="1:18" ht="15" customHeight="1" x14ac:dyDescent="0.25">
      <c r="A8" s="107" t="s">
        <v>105</v>
      </c>
      <c r="B8" s="108">
        <f>3729039.81-158243</f>
        <v>3570796.81</v>
      </c>
      <c r="C8" s="108">
        <v>3337919.666666667</v>
      </c>
      <c r="D8" s="156">
        <f>IF(B8=0,"%",C8/B8-1)</f>
        <v>-6.5217136601321557E-2</v>
      </c>
      <c r="E8" s="108">
        <v>3443170</v>
      </c>
      <c r="F8" s="156">
        <f>IF(C8=0,"%",E8/C8-1)</f>
        <v>3.1531715512626013E-2</v>
      </c>
      <c r="G8" s="108">
        <v>3188188</v>
      </c>
      <c r="H8" s="156">
        <f>IF(E8=0,"%",G8/E8-1)</f>
        <v>-7.4054432398051762E-2</v>
      </c>
      <c r="I8" s="108">
        <v>3315915.666666667</v>
      </c>
      <c r="J8" s="156">
        <f>IF(G8=0,"%",I8/G8-1)</f>
        <v>4.0062777561005403E-2</v>
      </c>
      <c r="K8" s="108">
        <v>3571371.666666667</v>
      </c>
      <c r="L8" s="156">
        <f>IF(I8=0,"%",K8/I8-1)</f>
        <v>7.7039353735071758E-2</v>
      </c>
      <c r="M8" s="138">
        <v>3911979.666666667</v>
      </c>
      <c r="N8" s="156">
        <f>IF(K8=0,"%",M8/K8-1)</f>
        <v>9.5371759590036076E-2</v>
      </c>
      <c r="O8" s="108">
        <v>4444179.666666667</v>
      </c>
      <c r="P8" s="156">
        <f>IF(M8=0,"%",O8/M8-1)</f>
        <v>0.13604365189696366</v>
      </c>
      <c r="Q8" s="133" t="str">
        <f t="shared" si="0"/>
        <v>%</v>
      </c>
      <c r="R8" s="162">
        <f t="shared" si="1"/>
        <v>3.1751740045445231E-2</v>
      </c>
    </row>
    <row r="9" spans="1:18" ht="15" customHeight="1" x14ac:dyDescent="0.25">
      <c r="A9" s="107" t="s">
        <v>106</v>
      </c>
      <c r="B9" s="108">
        <v>6793057.2699999996</v>
      </c>
      <c r="C9" s="108">
        <v>7880040</v>
      </c>
      <c r="D9" s="156">
        <f t="shared" ref="D9:D26" si="2">IF(B9=0,"%",C9/B9-1)</f>
        <v>0.16001377388652593</v>
      </c>
      <c r="E9" s="108">
        <v>8108960</v>
      </c>
      <c r="F9" s="156">
        <f t="shared" ref="F9:P26" si="3">IF(C9=0,"%",E9/C9-1)</f>
        <v>2.9050613956274285E-2</v>
      </c>
      <c r="G9" s="108">
        <v>8343780</v>
      </c>
      <c r="H9" s="156">
        <f t="shared" si="3"/>
        <v>2.8958090803259617E-2</v>
      </c>
      <c r="I9" s="108">
        <v>8343780</v>
      </c>
      <c r="J9" s="156">
        <f t="shared" si="3"/>
        <v>0</v>
      </c>
      <c r="K9" s="108">
        <v>8343780</v>
      </c>
      <c r="L9" s="156">
        <f t="shared" si="3"/>
        <v>0</v>
      </c>
      <c r="M9" s="138">
        <v>8343780</v>
      </c>
      <c r="N9" s="156">
        <f t="shared" si="3"/>
        <v>0</v>
      </c>
      <c r="O9" s="108">
        <v>8343780</v>
      </c>
      <c r="P9" s="156">
        <f t="shared" si="3"/>
        <v>0</v>
      </c>
      <c r="Q9" s="133" t="str">
        <f t="shared" si="0"/>
        <v>%</v>
      </c>
      <c r="R9" s="162">
        <f t="shared" si="1"/>
        <v>2.980926673806783E-2</v>
      </c>
    </row>
    <row r="10" spans="1:18" ht="15" customHeight="1" x14ac:dyDescent="0.25">
      <c r="A10" s="107" t="s">
        <v>107</v>
      </c>
      <c r="B10" s="108">
        <v>1567054.57</v>
      </c>
      <c r="C10" s="108">
        <v>2120370</v>
      </c>
      <c r="D10" s="156">
        <f t="shared" si="2"/>
        <v>0.35309263671653746</v>
      </c>
      <c r="E10" s="108">
        <v>2141530</v>
      </c>
      <c r="F10" s="156">
        <f t="shared" si="3"/>
        <v>9.9793903894132008E-3</v>
      </c>
      <c r="G10" s="108">
        <v>2162920</v>
      </c>
      <c r="H10" s="156">
        <f t="shared" si="3"/>
        <v>9.988186016539613E-3</v>
      </c>
      <c r="I10" s="108">
        <v>2162920</v>
      </c>
      <c r="J10" s="156">
        <f t="shared" si="3"/>
        <v>0</v>
      </c>
      <c r="K10" s="108">
        <v>2162920</v>
      </c>
      <c r="L10" s="156">
        <f t="shared" si="3"/>
        <v>0</v>
      </c>
      <c r="M10" s="108">
        <v>2162920</v>
      </c>
      <c r="N10" s="156">
        <f t="shared" si="3"/>
        <v>0</v>
      </c>
      <c r="O10" s="108">
        <v>2162920</v>
      </c>
      <c r="P10" s="156">
        <f t="shared" si="3"/>
        <v>0</v>
      </c>
      <c r="Q10" s="133" t="str">
        <f t="shared" si="0"/>
        <v>%</v>
      </c>
      <c r="R10" s="162">
        <f t="shared" si="1"/>
        <v>4.7113508450040253E-2</v>
      </c>
    </row>
    <row r="11" spans="1:18" ht="15" customHeight="1" x14ac:dyDescent="0.25">
      <c r="A11" s="107" t="s">
        <v>108</v>
      </c>
      <c r="B11" s="108">
        <f>0</f>
        <v>0</v>
      </c>
      <c r="C11" s="108">
        <f>0</f>
        <v>0</v>
      </c>
      <c r="D11" s="156" t="str">
        <f t="shared" si="2"/>
        <v>%</v>
      </c>
      <c r="E11" s="108">
        <f>0</f>
        <v>0</v>
      </c>
      <c r="F11" s="156" t="str">
        <f t="shared" si="3"/>
        <v>%</v>
      </c>
      <c r="G11" s="108">
        <f>0</f>
        <v>0</v>
      </c>
      <c r="H11" s="156" t="str">
        <f t="shared" si="3"/>
        <v>%</v>
      </c>
      <c r="I11" s="108">
        <f>0</f>
        <v>0</v>
      </c>
      <c r="J11" s="156" t="str">
        <f t="shared" si="3"/>
        <v>%</v>
      </c>
      <c r="K11" s="108">
        <f>0</f>
        <v>0</v>
      </c>
      <c r="L11" s="156" t="str">
        <f t="shared" si="3"/>
        <v>%</v>
      </c>
      <c r="M11" s="138">
        <f>0</f>
        <v>0</v>
      </c>
      <c r="N11" s="156" t="str">
        <f t="shared" si="3"/>
        <v>%</v>
      </c>
      <c r="O11" s="108">
        <f>0</f>
        <v>0</v>
      </c>
      <c r="P11" s="156" t="str">
        <f t="shared" si="3"/>
        <v>%</v>
      </c>
      <c r="Q11" s="133" t="str">
        <f t="shared" si="0"/>
        <v>%</v>
      </c>
      <c r="R11" s="162" t="str">
        <f t="shared" si="1"/>
        <v>%</v>
      </c>
    </row>
    <row r="12" spans="1:18" ht="15" customHeight="1" x14ac:dyDescent="0.25">
      <c r="A12" s="107" t="s">
        <v>109</v>
      </c>
      <c r="B12" s="108">
        <f>0</f>
        <v>0</v>
      </c>
      <c r="C12" s="108">
        <f>0</f>
        <v>0</v>
      </c>
      <c r="D12" s="156" t="str">
        <f t="shared" si="2"/>
        <v>%</v>
      </c>
      <c r="E12" s="108">
        <f>0</f>
        <v>0</v>
      </c>
      <c r="F12" s="156" t="str">
        <f t="shared" si="3"/>
        <v>%</v>
      </c>
      <c r="G12" s="108">
        <f>0</f>
        <v>0</v>
      </c>
      <c r="H12" s="156" t="str">
        <f t="shared" si="3"/>
        <v>%</v>
      </c>
      <c r="I12" s="108">
        <f>0</f>
        <v>0</v>
      </c>
      <c r="J12" s="156" t="str">
        <f t="shared" si="3"/>
        <v>%</v>
      </c>
      <c r="K12" s="108">
        <f>0</f>
        <v>0</v>
      </c>
      <c r="L12" s="156" t="str">
        <f t="shared" si="3"/>
        <v>%</v>
      </c>
      <c r="M12" s="138">
        <f>0</f>
        <v>0</v>
      </c>
      <c r="N12" s="156" t="str">
        <f t="shared" si="3"/>
        <v>%</v>
      </c>
      <c r="O12" s="108">
        <f>0</f>
        <v>0</v>
      </c>
      <c r="P12" s="156" t="str">
        <f t="shared" si="3"/>
        <v>%</v>
      </c>
      <c r="Q12" s="133" t="str">
        <f t="shared" si="0"/>
        <v>%</v>
      </c>
      <c r="R12" s="162" t="str">
        <f t="shared" si="1"/>
        <v>%</v>
      </c>
    </row>
    <row r="13" spans="1:18" ht="15" customHeight="1" x14ac:dyDescent="0.25">
      <c r="A13" s="107" t="s">
        <v>110</v>
      </c>
      <c r="B13" s="108">
        <f>0</f>
        <v>0</v>
      </c>
      <c r="C13" s="108">
        <f>0</f>
        <v>0</v>
      </c>
      <c r="D13" s="156" t="str">
        <f t="shared" si="2"/>
        <v>%</v>
      </c>
      <c r="E13" s="108">
        <f>0</f>
        <v>0</v>
      </c>
      <c r="F13" s="156" t="str">
        <f t="shared" si="3"/>
        <v>%</v>
      </c>
      <c r="G13" s="108">
        <f>0</f>
        <v>0</v>
      </c>
      <c r="H13" s="156" t="str">
        <f t="shared" si="3"/>
        <v>%</v>
      </c>
      <c r="I13" s="108">
        <f>0</f>
        <v>0</v>
      </c>
      <c r="J13" s="156" t="str">
        <f t="shared" si="3"/>
        <v>%</v>
      </c>
      <c r="K13" s="108">
        <f>0</f>
        <v>0</v>
      </c>
      <c r="L13" s="156" t="str">
        <f t="shared" si="3"/>
        <v>%</v>
      </c>
      <c r="M13" s="138">
        <f>0</f>
        <v>0</v>
      </c>
      <c r="N13" s="156" t="str">
        <f t="shared" si="3"/>
        <v>%</v>
      </c>
      <c r="O13" s="108">
        <f>0</f>
        <v>0</v>
      </c>
      <c r="P13" s="156" t="str">
        <f t="shared" si="3"/>
        <v>%</v>
      </c>
      <c r="Q13" s="133" t="str">
        <f t="shared" si="0"/>
        <v>%</v>
      </c>
      <c r="R13" s="162" t="str">
        <f t="shared" si="1"/>
        <v>%</v>
      </c>
    </row>
    <row r="14" spans="1:18" ht="15" customHeight="1" x14ac:dyDescent="0.25">
      <c r="A14" s="107" t="s">
        <v>111</v>
      </c>
      <c r="B14" s="108">
        <f>0</f>
        <v>0</v>
      </c>
      <c r="C14" s="108">
        <f>0</f>
        <v>0</v>
      </c>
      <c r="D14" s="156" t="str">
        <f t="shared" si="2"/>
        <v>%</v>
      </c>
      <c r="E14" s="108">
        <f>0</f>
        <v>0</v>
      </c>
      <c r="F14" s="156" t="str">
        <f t="shared" si="3"/>
        <v>%</v>
      </c>
      <c r="G14" s="108">
        <f>0</f>
        <v>0</v>
      </c>
      <c r="H14" s="156" t="str">
        <f t="shared" si="3"/>
        <v>%</v>
      </c>
      <c r="I14" s="108">
        <f>0</f>
        <v>0</v>
      </c>
      <c r="J14" s="156" t="str">
        <f t="shared" si="3"/>
        <v>%</v>
      </c>
      <c r="K14" s="108">
        <f>0</f>
        <v>0</v>
      </c>
      <c r="L14" s="156" t="str">
        <f t="shared" si="3"/>
        <v>%</v>
      </c>
      <c r="M14" s="138">
        <f>0</f>
        <v>0</v>
      </c>
      <c r="N14" s="156" t="str">
        <f t="shared" si="3"/>
        <v>%</v>
      </c>
      <c r="O14" s="108">
        <f>0</f>
        <v>0</v>
      </c>
      <c r="P14" s="156" t="str">
        <f t="shared" si="3"/>
        <v>%</v>
      </c>
      <c r="Q14" s="133" t="str">
        <f t="shared" si="0"/>
        <v>%</v>
      </c>
      <c r="R14" s="162" t="str">
        <f t="shared" si="1"/>
        <v>%</v>
      </c>
    </row>
    <row r="15" spans="1:18" ht="15" customHeight="1" x14ac:dyDescent="0.25">
      <c r="A15" s="107" t="s">
        <v>112</v>
      </c>
      <c r="B15" s="108">
        <f>0</f>
        <v>0</v>
      </c>
      <c r="C15" s="108">
        <f>0</f>
        <v>0</v>
      </c>
      <c r="D15" s="156" t="str">
        <f t="shared" si="2"/>
        <v>%</v>
      </c>
      <c r="E15" s="108">
        <f>0</f>
        <v>0</v>
      </c>
      <c r="F15" s="156" t="str">
        <f t="shared" si="3"/>
        <v>%</v>
      </c>
      <c r="G15" s="108">
        <f>0</f>
        <v>0</v>
      </c>
      <c r="H15" s="156" t="str">
        <f t="shared" si="3"/>
        <v>%</v>
      </c>
      <c r="I15" s="108">
        <f>0</f>
        <v>0</v>
      </c>
      <c r="J15" s="156" t="str">
        <f t="shared" si="3"/>
        <v>%</v>
      </c>
      <c r="K15" s="108">
        <f>0</f>
        <v>0</v>
      </c>
      <c r="L15" s="156" t="str">
        <f t="shared" si="3"/>
        <v>%</v>
      </c>
      <c r="M15" s="138">
        <f>0</f>
        <v>0</v>
      </c>
      <c r="N15" s="156" t="str">
        <f t="shared" si="3"/>
        <v>%</v>
      </c>
      <c r="O15" s="108">
        <f>0</f>
        <v>0</v>
      </c>
      <c r="P15" s="156" t="str">
        <f t="shared" si="3"/>
        <v>%</v>
      </c>
      <c r="Q15" s="133" t="str">
        <f t="shared" si="0"/>
        <v>%</v>
      </c>
      <c r="R15" s="162" t="str">
        <f t="shared" si="1"/>
        <v>%</v>
      </c>
    </row>
    <row r="16" spans="1:18" ht="15" customHeight="1" x14ac:dyDescent="0.25">
      <c r="A16" s="107" t="s">
        <v>113</v>
      </c>
      <c r="B16" s="108">
        <f>0</f>
        <v>0</v>
      </c>
      <c r="C16" s="108">
        <f>0</f>
        <v>0</v>
      </c>
      <c r="D16" s="156" t="str">
        <f t="shared" si="2"/>
        <v>%</v>
      </c>
      <c r="E16" s="108">
        <f>0</f>
        <v>0</v>
      </c>
      <c r="F16" s="156" t="str">
        <f t="shared" si="3"/>
        <v>%</v>
      </c>
      <c r="G16" s="108">
        <f>0</f>
        <v>0</v>
      </c>
      <c r="H16" s="156" t="str">
        <f t="shared" si="3"/>
        <v>%</v>
      </c>
      <c r="I16" s="108">
        <f>0</f>
        <v>0</v>
      </c>
      <c r="J16" s="156" t="str">
        <f t="shared" si="3"/>
        <v>%</v>
      </c>
      <c r="K16" s="108">
        <f>0</f>
        <v>0</v>
      </c>
      <c r="L16" s="156" t="str">
        <f t="shared" si="3"/>
        <v>%</v>
      </c>
      <c r="M16" s="138">
        <f>0</f>
        <v>0</v>
      </c>
      <c r="N16" s="156" t="str">
        <f t="shared" si="3"/>
        <v>%</v>
      </c>
      <c r="O16" s="108">
        <f>0</f>
        <v>0</v>
      </c>
      <c r="P16" s="156" t="str">
        <f t="shared" si="3"/>
        <v>%</v>
      </c>
      <c r="Q16" s="133" t="str">
        <f t="shared" si="0"/>
        <v>%</v>
      </c>
      <c r="R16" s="162" t="str">
        <f t="shared" si="1"/>
        <v>%</v>
      </c>
    </row>
    <row r="17" spans="1:18" ht="15" customHeight="1" x14ac:dyDescent="0.25">
      <c r="A17" s="107" t="s">
        <v>114</v>
      </c>
      <c r="B17" s="108">
        <f>0</f>
        <v>0</v>
      </c>
      <c r="C17" s="108">
        <f>0</f>
        <v>0</v>
      </c>
      <c r="D17" s="156" t="str">
        <f t="shared" si="2"/>
        <v>%</v>
      </c>
      <c r="E17" s="108">
        <f>0</f>
        <v>0</v>
      </c>
      <c r="F17" s="156" t="str">
        <f t="shared" si="3"/>
        <v>%</v>
      </c>
      <c r="G17" s="108">
        <f>0</f>
        <v>0</v>
      </c>
      <c r="H17" s="156" t="str">
        <f t="shared" si="3"/>
        <v>%</v>
      </c>
      <c r="I17" s="108">
        <f>0</f>
        <v>0</v>
      </c>
      <c r="J17" s="156" t="str">
        <f t="shared" si="3"/>
        <v>%</v>
      </c>
      <c r="K17" s="108">
        <f>0</f>
        <v>0</v>
      </c>
      <c r="L17" s="156" t="str">
        <f t="shared" si="3"/>
        <v>%</v>
      </c>
      <c r="M17" s="138">
        <f>0</f>
        <v>0</v>
      </c>
      <c r="N17" s="156" t="str">
        <f t="shared" si="3"/>
        <v>%</v>
      </c>
      <c r="O17" s="108">
        <f>0</f>
        <v>0</v>
      </c>
      <c r="P17" s="156" t="str">
        <f t="shared" si="3"/>
        <v>%</v>
      </c>
      <c r="Q17" s="133">
        <f t="shared" si="0"/>
        <v>-8.7500000000000022E-2</v>
      </c>
      <c r="R17" s="162" t="str">
        <f t="shared" si="1"/>
        <v>%</v>
      </c>
    </row>
    <row r="18" spans="1:18" ht="15" customHeight="1" x14ac:dyDescent="0.25">
      <c r="A18" s="107" t="s">
        <v>115</v>
      </c>
      <c r="B18" s="108">
        <f>0</f>
        <v>0</v>
      </c>
      <c r="C18" s="108">
        <f>0</f>
        <v>0</v>
      </c>
      <c r="D18" s="156" t="str">
        <f t="shared" si="2"/>
        <v>%</v>
      </c>
      <c r="E18" s="108">
        <f>0</f>
        <v>0</v>
      </c>
      <c r="F18" s="156" t="str">
        <f t="shared" si="3"/>
        <v>%</v>
      </c>
      <c r="G18" s="108">
        <f>0</f>
        <v>0</v>
      </c>
      <c r="H18" s="156" t="str">
        <f t="shared" si="3"/>
        <v>%</v>
      </c>
      <c r="I18" s="108">
        <f>0</f>
        <v>0</v>
      </c>
      <c r="J18" s="156" t="str">
        <f t="shared" si="3"/>
        <v>%</v>
      </c>
      <c r="K18" s="108">
        <f>0</f>
        <v>0</v>
      </c>
      <c r="L18" s="156" t="str">
        <f t="shared" si="3"/>
        <v>%</v>
      </c>
      <c r="M18" s="138">
        <f>0</f>
        <v>0</v>
      </c>
      <c r="N18" s="156" t="str">
        <f t="shared" si="3"/>
        <v>%</v>
      </c>
      <c r="O18" s="108">
        <f>0</f>
        <v>0</v>
      </c>
      <c r="P18" s="156" t="str">
        <f t="shared" si="3"/>
        <v>%</v>
      </c>
      <c r="Q18" s="133">
        <f t="shared" ref="Q18:Q23" si="4">IF(O26=0,"%",O26/B26-1)</f>
        <v>7.8274323920188849E-2</v>
      </c>
      <c r="R18" s="162" t="str">
        <f t="shared" si="1"/>
        <v>%</v>
      </c>
    </row>
    <row r="19" spans="1:18" ht="15" customHeight="1" x14ac:dyDescent="0.25">
      <c r="A19" s="107" t="s">
        <v>116</v>
      </c>
      <c r="B19" s="108">
        <f>0</f>
        <v>0</v>
      </c>
      <c r="C19" s="108">
        <f>0</f>
        <v>0</v>
      </c>
      <c r="D19" s="156" t="str">
        <f t="shared" si="2"/>
        <v>%</v>
      </c>
      <c r="E19" s="108">
        <f>0</f>
        <v>0</v>
      </c>
      <c r="F19" s="156" t="str">
        <f t="shared" si="3"/>
        <v>%</v>
      </c>
      <c r="G19" s="108">
        <f>0</f>
        <v>0</v>
      </c>
      <c r="H19" s="156" t="str">
        <f t="shared" si="3"/>
        <v>%</v>
      </c>
      <c r="I19" s="108">
        <f>0</f>
        <v>0</v>
      </c>
      <c r="J19" s="156" t="str">
        <f t="shared" si="3"/>
        <v>%</v>
      </c>
      <c r="K19" s="108">
        <f>0</f>
        <v>0</v>
      </c>
      <c r="L19" s="156" t="str">
        <f t="shared" si="3"/>
        <v>%</v>
      </c>
      <c r="M19" s="138">
        <f>0</f>
        <v>0</v>
      </c>
      <c r="N19" s="156" t="str">
        <f t="shared" si="3"/>
        <v>%</v>
      </c>
      <c r="O19" s="108">
        <f>0</f>
        <v>0</v>
      </c>
      <c r="P19" s="156" t="str">
        <f t="shared" si="3"/>
        <v>%</v>
      </c>
      <c r="Q19" s="133" t="str">
        <f t="shared" si="4"/>
        <v>%</v>
      </c>
      <c r="R19" s="162" t="str">
        <f t="shared" si="1"/>
        <v>%</v>
      </c>
    </row>
    <row r="20" spans="1:18" ht="15" customHeight="1" x14ac:dyDescent="0.25">
      <c r="A20" s="107" t="s">
        <v>117</v>
      </c>
      <c r="B20" s="108">
        <f>0</f>
        <v>0</v>
      </c>
      <c r="C20" s="108">
        <f>0</f>
        <v>0</v>
      </c>
      <c r="D20" s="156" t="str">
        <f t="shared" si="2"/>
        <v>%</v>
      </c>
      <c r="E20" s="108">
        <f>0</f>
        <v>0</v>
      </c>
      <c r="F20" s="156" t="str">
        <f t="shared" si="3"/>
        <v>%</v>
      </c>
      <c r="G20" s="108">
        <f>0</f>
        <v>0</v>
      </c>
      <c r="H20" s="156" t="str">
        <f t="shared" si="3"/>
        <v>%</v>
      </c>
      <c r="I20" s="108">
        <f>0</f>
        <v>0</v>
      </c>
      <c r="J20" s="156" t="str">
        <f t="shared" si="3"/>
        <v>%</v>
      </c>
      <c r="K20" s="108">
        <f>0</f>
        <v>0</v>
      </c>
      <c r="L20" s="156" t="str">
        <f t="shared" si="3"/>
        <v>%</v>
      </c>
      <c r="M20" s="138">
        <f>0</f>
        <v>0</v>
      </c>
      <c r="N20" s="156" t="str">
        <f t="shared" si="3"/>
        <v>%</v>
      </c>
      <c r="O20" s="108">
        <f>0</f>
        <v>0</v>
      </c>
      <c r="P20" s="156" t="str">
        <f t="shared" si="3"/>
        <v>%</v>
      </c>
      <c r="Q20" s="133" t="str">
        <f t="shared" si="4"/>
        <v>%</v>
      </c>
      <c r="R20" s="162" t="str">
        <f t="shared" si="1"/>
        <v>%</v>
      </c>
    </row>
    <row r="21" spans="1:18" ht="15" customHeight="1" x14ac:dyDescent="0.25">
      <c r="A21" s="135" t="s">
        <v>118</v>
      </c>
      <c r="B21" s="110">
        <f>SUM(B11,B13,B15,B17,B19)</f>
        <v>0</v>
      </c>
      <c r="C21" s="110">
        <f t="shared" ref="C21:G21" si="5">SUM(C11,C13,C15,C17,C19)</f>
        <v>0</v>
      </c>
      <c r="D21" s="156" t="str">
        <f t="shared" si="2"/>
        <v>%</v>
      </c>
      <c r="E21" s="110">
        <f t="shared" si="5"/>
        <v>0</v>
      </c>
      <c r="F21" s="156" t="str">
        <f t="shared" si="3"/>
        <v>%</v>
      </c>
      <c r="G21" s="110">
        <f t="shared" si="5"/>
        <v>0</v>
      </c>
      <c r="H21" s="156" t="str">
        <f t="shared" si="3"/>
        <v>%</v>
      </c>
      <c r="I21" s="110">
        <f t="shared" ref="I21:O21" si="6">SUM(I11,I13,I15,I17,I19)</f>
        <v>0</v>
      </c>
      <c r="J21" s="156" t="str">
        <f t="shared" si="3"/>
        <v>%</v>
      </c>
      <c r="K21" s="110">
        <f t="shared" si="6"/>
        <v>0</v>
      </c>
      <c r="L21" s="156" t="str">
        <f t="shared" si="3"/>
        <v>%</v>
      </c>
      <c r="M21" s="139">
        <f t="shared" si="6"/>
        <v>0</v>
      </c>
      <c r="N21" s="156" t="str">
        <f t="shared" si="3"/>
        <v>%</v>
      </c>
      <c r="O21" s="110">
        <f t="shared" si="6"/>
        <v>0</v>
      </c>
      <c r="P21" s="156" t="str">
        <f t="shared" si="3"/>
        <v>%</v>
      </c>
      <c r="Q21" s="133" t="str">
        <f t="shared" si="4"/>
        <v>%</v>
      </c>
      <c r="R21" s="162" t="str">
        <f t="shared" si="1"/>
        <v>%</v>
      </c>
    </row>
    <row r="22" spans="1:18" ht="15" customHeight="1" x14ac:dyDescent="0.25">
      <c r="A22" s="135" t="s">
        <v>119</v>
      </c>
      <c r="B22" s="110">
        <f>SUM(B12,B14,B16,B18,B20)</f>
        <v>0</v>
      </c>
      <c r="C22" s="110">
        <f t="shared" ref="C22:G22" si="7">SUM(C12,C14,C16,C18,C20)</f>
        <v>0</v>
      </c>
      <c r="D22" s="156" t="str">
        <f t="shared" si="2"/>
        <v>%</v>
      </c>
      <c r="E22" s="110">
        <f t="shared" si="7"/>
        <v>0</v>
      </c>
      <c r="F22" s="156" t="str">
        <f t="shared" si="3"/>
        <v>%</v>
      </c>
      <c r="G22" s="110">
        <f t="shared" si="7"/>
        <v>0</v>
      </c>
      <c r="H22" s="156" t="str">
        <f t="shared" si="3"/>
        <v>%</v>
      </c>
      <c r="I22" s="110">
        <f t="shared" ref="I22:O22" si="8">SUM(I12,I14,I16,I18,I20)</f>
        <v>0</v>
      </c>
      <c r="J22" s="156" t="str">
        <f t="shared" si="3"/>
        <v>%</v>
      </c>
      <c r="K22" s="110">
        <f t="shared" si="8"/>
        <v>0</v>
      </c>
      <c r="L22" s="156" t="str">
        <f t="shared" si="3"/>
        <v>%</v>
      </c>
      <c r="M22" s="139">
        <f t="shared" si="8"/>
        <v>0</v>
      </c>
      <c r="N22" s="156" t="str">
        <f t="shared" si="3"/>
        <v>%</v>
      </c>
      <c r="O22" s="110">
        <f t="shared" si="8"/>
        <v>0</v>
      </c>
      <c r="P22" s="156" t="str">
        <f t="shared" si="3"/>
        <v>%</v>
      </c>
      <c r="Q22" s="133" t="str">
        <f t="shared" si="4"/>
        <v>%</v>
      </c>
      <c r="R22" s="162" t="str">
        <f t="shared" si="1"/>
        <v>%</v>
      </c>
    </row>
    <row r="23" spans="1:18" ht="15" customHeight="1" x14ac:dyDescent="0.25">
      <c r="A23" s="109" t="s">
        <v>120</v>
      </c>
      <c r="B23" s="108">
        <v>8800</v>
      </c>
      <c r="C23" s="108">
        <v>6974</v>
      </c>
      <c r="D23" s="156">
        <f t="shared" si="2"/>
        <v>-0.20750000000000002</v>
      </c>
      <c r="E23" s="108">
        <v>7040</v>
      </c>
      <c r="F23" s="156">
        <f t="shared" si="3"/>
        <v>9.4637223974762819E-3</v>
      </c>
      <c r="G23" s="108">
        <v>6732</v>
      </c>
      <c r="H23" s="156">
        <f t="shared" si="3"/>
        <v>-4.3749999999999956E-2</v>
      </c>
      <c r="I23" s="108">
        <v>6864</v>
      </c>
      <c r="J23" s="156">
        <f t="shared" si="3"/>
        <v>1.9607843137254832E-2</v>
      </c>
      <c r="K23" s="108">
        <v>7128</v>
      </c>
      <c r="L23" s="156">
        <f t="shared" si="3"/>
        <v>3.8461538461538547E-2</v>
      </c>
      <c r="M23" s="138">
        <v>7480</v>
      </c>
      <c r="N23" s="156">
        <f t="shared" si="3"/>
        <v>4.9382716049382713E-2</v>
      </c>
      <c r="O23" s="108">
        <v>8030</v>
      </c>
      <c r="P23" s="156">
        <f t="shared" si="3"/>
        <v>7.3529411764705843E-2</v>
      </c>
      <c r="Q23" s="133" t="str">
        <f t="shared" si="4"/>
        <v>%</v>
      </c>
      <c r="R23" s="162">
        <f t="shared" si="1"/>
        <v>-1.2995842843816496E-2</v>
      </c>
    </row>
    <row r="24" spans="1:18" ht="15" customHeight="1" x14ac:dyDescent="0.25">
      <c r="A24" s="136" t="s">
        <v>121</v>
      </c>
      <c r="B24" s="110">
        <f>SUM(B7:B20,B23)</f>
        <v>34572764.649999999</v>
      </c>
      <c r="C24" s="110">
        <f>SUM(C7:C20,C23)</f>
        <v>36467963.666666672</v>
      </c>
      <c r="D24" s="156">
        <f t="shared" ref="D24" si="9">IF(B24=0,"%",C24/B24-1)</f>
        <v>5.4817687733476506E-2</v>
      </c>
      <c r="E24" s="110">
        <f>SUM(E7:E20,E23)</f>
        <v>36653785</v>
      </c>
      <c r="F24" s="156">
        <f t="shared" ref="F24" si="10">IF(C24=0,"%",E24/C24-1)</f>
        <v>5.0954677654013736E-3</v>
      </c>
      <c r="G24" s="110">
        <f>SUM(G7:G20,G23)</f>
        <v>36539020</v>
      </c>
      <c r="H24" s="156">
        <f t="shared" ref="H24" si="11">IF(E24=0,"%",G24/E24-1)</f>
        <v>-3.13105454184337E-3</v>
      </c>
      <c r="I24" s="110">
        <f>SUM(I7:I20,I23)</f>
        <v>35840454.666666672</v>
      </c>
      <c r="J24" s="156">
        <f t="shared" ref="J24" si="12">IF(G24=0,"%",I24/G24-1)</f>
        <v>-1.911833796673601E-2</v>
      </c>
      <c r="K24" s="110">
        <f>SUM(K7:K20,K23)</f>
        <v>35710824.666666672</v>
      </c>
      <c r="L24" s="156">
        <f t="shared" ref="L24" si="13">IF(I24=0,"%",K24/I24-1)</f>
        <v>-3.61686259858085E-3</v>
      </c>
      <c r="M24" s="110">
        <f>SUM(M7:M20,M23)</f>
        <v>36024259.666666672</v>
      </c>
      <c r="N24" s="156">
        <f t="shared" ref="N24" si="14">IF(K24=0,"%",M24/K24-1)</f>
        <v>8.7770305761818435E-3</v>
      </c>
      <c r="O24" s="110">
        <f>SUM(O7:O20,O23)</f>
        <v>37446984.666666672</v>
      </c>
      <c r="P24" s="156">
        <f t="shared" ref="P24" si="15">IF(M24=0,"%",O24/M24-1)</f>
        <v>3.9493525006884411E-2</v>
      </c>
      <c r="Q24" s="133" t="str">
        <f t="shared" ref="Q24" si="16">IF(O30=0,"%",O30/B30-1)</f>
        <v>%</v>
      </c>
      <c r="R24" s="162">
        <f t="shared" ref="R24" si="17">IF(B24=0,"%",(O24/B24)^(1/7)-1)</f>
        <v>1.1473892632194671E-2</v>
      </c>
    </row>
    <row r="25" spans="1:18" ht="15" customHeight="1" x14ac:dyDescent="0.25">
      <c r="A25" s="163" t="s">
        <v>122</v>
      </c>
      <c r="B25" s="164">
        <v>42116202</v>
      </c>
      <c r="C25" s="164">
        <v>45244759</v>
      </c>
      <c r="D25" s="156">
        <f t="shared" ref="D25" si="18">IF(B25=0,"%",C25/B25-1)</f>
        <v>7.4283929970703433E-2</v>
      </c>
      <c r="E25" s="110">
        <f>C25</f>
        <v>45244759</v>
      </c>
      <c r="F25" s="156">
        <f t="shared" ref="F25" si="19">IF(C25=0,"%",E25/C25-1)</f>
        <v>0</v>
      </c>
      <c r="G25" s="110">
        <f>E25</f>
        <v>45244759</v>
      </c>
      <c r="H25" s="156">
        <f t="shared" ref="H25" si="20">IF(E25=0,"%",G25/E25-1)</f>
        <v>0</v>
      </c>
      <c r="I25" s="110">
        <f>G25</f>
        <v>45244759</v>
      </c>
      <c r="J25" s="156">
        <f t="shared" ref="J25" si="21">IF(G25=0,"%",I25/G25-1)</f>
        <v>0</v>
      </c>
      <c r="K25" s="110">
        <f>I25</f>
        <v>45244759</v>
      </c>
      <c r="L25" s="156">
        <f t="shared" ref="L25" si="22">IF(I25=0,"%",K25/I25-1)</f>
        <v>0</v>
      </c>
      <c r="M25" s="110">
        <f>K25</f>
        <v>45244759</v>
      </c>
      <c r="N25" s="156">
        <f t="shared" ref="N25" si="23">IF(K25=0,"%",M25/K25-1)</f>
        <v>0</v>
      </c>
      <c r="O25" s="110">
        <f>M25</f>
        <v>45244759</v>
      </c>
      <c r="P25" s="156">
        <f t="shared" ref="P25" si="24">IF(M25=0,"%",O25/M25-1)</f>
        <v>0</v>
      </c>
      <c r="Q25" s="133" t="str">
        <f t="shared" ref="Q25" si="25">IF(O32=0,"%",O32/B32-1)</f>
        <v>%</v>
      </c>
      <c r="R25" s="162">
        <f t="shared" ref="R25" si="26">IF(B25=0,"%",(O25/B25)^(1/7)-1)</f>
        <v>1.0288903043037312E-2</v>
      </c>
    </row>
    <row r="26" spans="1:18" ht="15" customHeight="1" x14ac:dyDescent="0.25">
      <c r="A26" s="136" t="s">
        <v>123</v>
      </c>
      <c r="B26" s="110">
        <f>B25+B24</f>
        <v>76688966.650000006</v>
      </c>
      <c r="C26" s="110">
        <f>C25+C24</f>
        <v>81712722.666666672</v>
      </c>
      <c r="D26" s="156">
        <f t="shared" si="2"/>
        <v>6.5508198064456069E-2</v>
      </c>
      <c r="E26" s="110">
        <f>E25+E24</f>
        <v>81898544</v>
      </c>
      <c r="F26" s="156">
        <f t="shared" si="3"/>
        <v>2.2740807951211472E-3</v>
      </c>
      <c r="G26" s="110">
        <f>G25+G24</f>
        <v>81783779</v>
      </c>
      <c r="H26" s="156">
        <f t="shared" si="3"/>
        <v>-1.4013069634057906E-3</v>
      </c>
      <c r="I26" s="110">
        <f>I25+I24</f>
        <v>81085213.666666672</v>
      </c>
      <c r="J26" s="156">
        <f t="shared" si="3"/>
        <v>-8.5416123083934536E-3</v>
      </c>
      <c r="K26" s="110">
        <f>K25+K24</f>
        <v>80955583.666666672</v>
      </c>
      <c r="L26" s="156">
        <f t="shared" si="3"/>
        <v>-1.5986885171554999E-3</v>
      </c>
      <c r="M26" s="110">
        <f>M25+M24</f>
        <v>81269018.666666672</v>
      </c>
      <c r="N26" s="156">
        <f t="shared" si="3"/>
        <v>3.8716909421661061E-3</v>
      </c>
      <c r="O26" s="110">
        <f>O25+O24</f>
        <v>82691743.666666672</v>
      </c>
      <c r="P26" s="156">
        <f t="shared" si="3"/>
        <v>1.7506363720662721E-2</v>
      </c>
      <c r="Q26" s="133" t="str">
        <f t="shared" si="0"/>
        <v>%</v>
      </c>
      <c r="R26" s="162">
        <f t="shared" si="1"/>
        <v>1.0824149639045988E-2</v>
      </c>
    </row>
    <row r="27" spans="1:18" ht="15" customHeight="1" x14ac:dyDescent="0.25">
      <c r="A27" s="94"/>
      <c r="B27" s="56"/>
      <c r="C27" s="56"/>
      <c r="D27" s="157"/>
      <c r="E27" s="56"/>
      <c r="F27" s="157"/>
      <c r="G27" s="56"/>
      <c r="H27" s="157"/>
      <c r="J27" s="157"/>
      <c r="L27" s="157"/>
      <c r="N27" s="157"/>
      <c r="P27" s="157"/>
    </row>
    <row r="28" spans="1:18" ht="15" customHeight="1" x14ac:dyDescent="0.25">
      <c r="A28" s="94"/>
      <c r="B28" s="56"/>
      <c r="C28" s="56"/>
      <c r="D28" s="157"/>
      <c r="E28" s="56"/>
      <c r="F28" s="157"/>
      <c r="G28" s="56"/>
      <c r="H28" s="157"/>
      <c r="J28" s="157"/>
      <c r="L28" s="157"/>
      <c r="N28" s="157"/>
      <c r="P28" s="157"/>
    </row>
    <row r="29" spans="1:18" ht="15" customHeight="1" x14ac:dyDescent="0.3">
      <c r="A29" s="82"/>
      <c r="B29" s="104" t="s">
        <v>89</v>
      </c>
      <c r="C29" s="104" t="s">
        <v>90</v>
      </c>
      <c r="D29" s="155"/>
      <c r="E29" s="104" t="s">
        <v>91</v>
      </c>
      <c r="F29" s="155"/>
      <c r="G29" s="104" t="s">
        <v>92</v>
      </c>
      <c r="H29" s="155"/>
      <c r="J29"/>
      <c r="L29"/>
      <c r="N29"/>
      <c r="P29"/>
    </row>
    <row r="30" spans="1:18" ht="15" customHeight="1" x14ac:dyDescent="0.3">
      <c r="A30" s="95" t="s">
        <v>124</v>
      </c>
      <c r="B30" s="96" t="s">
        <v>125</v>
      </c>
      <c r="C30" s="96" t="s">
        <v>125</v>
      </c>
      <c r="D30" s="160" t="s">
        <v>98</v>
      </c>
      <c r="E30" s="96" t="s">
        <v>125</v>
      </c>
      <c r="F30" s="160" t="s">
        <v>98</v>
      </c>
      <c r="G30" s="96" t="s">
        <v>125</v>
      </c>
      <c r="H30" s="160" t="s">
        <v>98</v>
      </c>
      <c r="J30"/>
      <c r="L30"/>
      <c r="N30"/>
      <c r="P30"/>
    </row>
    <row r="31" spans="1:18" ht="15" customHeight="1" x14ac:dyDescent="0.25">
      <c r="A31" s="109" t="s">
        <v>126</v>
      </c>
      <c r="B31" s="108">
        <v>17989837</v>
      </c>
      <c r="C31" s="108">
        <v>20302116</v>
      </c>
      <c r="D31" s="156">
        <f>IF(B31=0,"%",C31/B31-1)</f>
        <v>0.12853251533073928</v>
      </c>
      <c r="E31" s="108">
        <v>20372440</v>
      </c>
      <c r="F31" s="156">
        <f>IF(C31=0,"%",E31/C31-1)</f>
        <v>3.4638753911169218E-3</v>
      </c>
      <c r="G31" s="108">
        <v>20479405</v>
      </c>
      <c r="H31" s="156">
        <f>IF(E31=0,"%",G31/E31-1)</f>
        <v>5.2504756425837407E-3</v>
      </c>
      <c r="J31"/>
      <c r="L31"/>
      <c r="N31"/>
      <c r="P31"/>
    </row>
    <row r="32" spans="1:18" ht="15" customHeight="1" x14ac:dyDescent="0.25">
      <c r="A32" s="109" t="s">
        <v>127</v>
      </c>
      <c r="B32" s="108">
        <v>993199</v>
      </c>
      <c r="C32" s="108">
        <v>1120850</v>
      </c>
      <c r="D32" s="156">
        <f t="shared" ref="D32:D34" si="27">IF(B32=0,"%",C32/B32-1)</f>
        <v>0.12852509919965693</v>
      </c>
      <c r="E32" s="108">
        <v>1273832</v>
      </c>
      <c r="F32" s="156">
        <f t="shared" ref="F32:H34" si="28">IF(C32=0,"%",E32/C32-1)</f>
        <v>0.13648748717491199</v>
      </c>
      <c r="G32" s="108">
        <v>1583180</v>
      </c>
      <c r="H32" s="156">
        <f t="shared" si="28"/>
        <v>0.24284835048891851</v>
      </c>
      <c r="J32"/>
      <c r="L32"/>
      <c r="N32"/>
      <c r="P32"/>
    </row>
    <row r="33" spans="1:16" ht="15" customHeight="1" x14ac:dyDescent="0.25">
      <c r="A33" s="135" t="s">
        <v>128</v>
      </c>
      <c r="B33" s="110">
        <f>B32+B31</f>
        <v>18983036</v>
      </c>
      <c r="C33" s="110">
        <f>C32+C31</f>
        <v>21422966</v>
      </c>
      <c r="D33" s="156">
        <f t="shared" si="27"/>
        <v>0.12853212731619967</v>
      </c>
      <c r="E33" s="110">
        <f t="shared" ref="E33:G33" si="29">E32+E31</f>
        <v>21646272</v>
      </c>
      <c r="F33" s="156">
        <f t="shared" si="28"/>
        <v>1.0423673360635544E-2</v>
      </c>
      <c r="G33" s="110">
        <f t="shared" si="29"/>
        <v>22062585</v>
      </c>
      <c r="H33" s="156">
        <f t="shared" si="28"/>
        <v>1.9232549604846438E-2</v>
      </c>
      <c r="J33"/>
      <c r="L33"/>
      <c r="N33"/>
      <c r="P33"/>
    </row>
    <row r="34" spans="1:16" ht="15" customHeight="1" x14ac:dyDescent="0.3">
      <c r="A34" s="111" t="s">
        <v>129</v>
      </c>
      <c r="B34" s="108">
        <v>53145136.020000003</v>
      </c>
      <c r="C34" s="108">
        <v>55167956</v>
      </c>
      <c r="D34" s="156">
        <f t="shared" si="27"/>
        <v>3.806218464167177E-2</v>
      </c>
      <c r="E34" s="108">
        <v>57440275</v>
      </c>
      <c r="F34" s="156">
        <f t="shared" si="28"/>
        <v>4.1189109852103334E-2</v>
      </c>
      <c r="G34" s="108">
        <v>59865257</v>
      </c>
      <c r="H34" s="156">
        <f t="shared" si="28"/>
        <v>4.221745108288566E-2</v>
      </c>
      <c r="J34"/>
      <c r="L34"/>
      <c r="N34"/>
      <c r="P34"/>
    </row>
    <row r="35" spans="1:16" ht="15" customHeight="1" x14ac:dyDescent="0.3">
      <c r="A35" s="97"/>
      <c r="B35" s="56"/>
      <c r="C35" s="56"/>
      <c r="D35" s="158"/>
      <c r="E35" s="56"/>
      <c r="F35" s="158"/>
      <c r="G35" s="56"/>
      <c r="H35" s="158"/>
      <c r="J35" s="158"/>
      <c r="L35" s="158"/>
      <c r="N35" s="158"/>
      <c r="P35" s="158"/>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11:G20 B11:C20 E11: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topLeftCell="A85" zoomScaleNormal="100" workbookViewId="0">
      <selection activeCell="I117" sqref="I117"/>
    </sheetView>
  </sheetViews>
  <sheetFormatPr defaultColWidth="9.1796875" defaultRowHeight="12.5" x14ac:dyDescent="0.25"/>
  <cols>
    <col min="1" max="1" width="31.1796875" style="8" customWidth="1"/>
    <col min="2" max="5" width="17.54296875" style="8" customWidth="1"/>
    <col min="6" max="8" width="15.54296875" style="8" customWidth="1"/>
    <col min="9" max="9" width="15.54296875" style="144" customWidth="1"/>
    <col min="10" max="16384" width="9.1796875" style="8"/>
  </cols>
  <sheetData>
    <row r="1" spans="1:11" ht="20.149999999999999" customHeight="1" x14ac:dyDescent="0.25">
      <c r="A1" s="57" t="s">
        <v>130</v>
      </c>
      <c r="B1" s="57"/>
      <c r="C1" s="57"/>
      <c r="D1" s="57"/>
      <c r="E1" s="57"/>
    </row>
    <row r="2" spans="1:11" ht="20.149999999999999" customHeight="1" x14ac:dyDescent="0.25">
      <c r="A2" s="434" t="str">
        <f>'Institution ID'!C3</f>
        <v>Longwood University</v>
      </c>
      <c r="B2" s="434"/>
      <c r="C2" s="434"/>
      <c r="D2" s="434"/>
      <c r="E2" s="434"/>
    </row>
    <row r="3" spans="1:11" s="7" customFormat="1" ht="70.5" customHeight="1" x14ac:dyDescent="0.25">
      <c r="A3" s="445" t="s">
        <v>131</v>
      </c>
      <c r="B3" s="446"/>
      <c r="C3" s="446"/>
      <c r="D3" s="446"/>
      <c r="E3" s="446"/>
      <c r="F3" s="446"/>
      <c r="G3" s="446"/>
      <c r="H3" s="446"/>
      <c r="I3" s="145"/>
    </row>
    <row r="4" spans="1:11" s="7" customFormat="1" ht="41.5" customHeight="1" x14ac:dyDescent="0.25">
      <c r="A4" s="445" t="s">
        <v>132</v>
      </c>
      <c r="B4" s="446"/>
      <c r="C4" s="446"/>
      <c r="D4" s="446"/>
      <c r="E4" s="446"/>
      <c r="F4" s="446"/>
      <c r="G4" s="446"/>
      <c r="H4" s="446"/>
      <c r="I4" s="145"/>
    </row>
    <row r="5" spans="1:11" s="10" customFormat="1" ht="38.15" customHeight="1" x14ac:dyDescent="0.25">
      <c r="A5" s="447" t="s">
        <v>133</v>
      </c>
      <c r="B5" s="448"/>
      <c r="C5" s="448"/>
      <c r="D5" s="448"/>
      <c r="E5" s="448"/>
      <c r="F5" s="448"/>
      <c r="G5" s="448"/>
      <c r="H5" s="448"/>
      <c r="I5" s="146"/>
    </row>
    <row r="6" spans="1:11" s="10" customFormat="1" ht="20.149999999999999" customHeight="1" x14ac:dyDescent="0.4">
      <c r="A6" s="449" t="s">
        <v>134</v>
      </c>
      <c r="B6" s="450"/>
      <c r="C6" s="450"/>
      <c r="D6" s="450"/>
      <c r="E6" s="450"/>
      <c r="F6" s="450"/>
      <c r="G6" s="375"/>
      <c r="H6" s="375"/>
      <c r="I6" s="147"/>
    </row>
    <row r="7" spans="1:11" s="10" customFormat="1" ht="15" customHeight="1" x14ac:dyDescent="0.25">
      <c r="A7" s="444" t="s">
        <v>135</v>
      </c>
      <c r="B7" s="444"/>
      <c r="C7" s="444"/>
      <c r="D7" s="444"/>
      <c r="E7" s="444"/>
      <c r="F7" s="444"/>
      <c r="G7" s="444"/>
      <c r="H7" s="444"/>
      <c r="I7" s="148"/>
    </row>
    <row r="8" spans="1:11" s="10" customFormat="1" ht="15" customHeight="1" x14ac:dyDescent="0.25">
      <c r="A8" s="458" t="s">
        <v>136</v>
      </c>
      <c r="B8" s="454" t="s">
        <v>137</v>
      </c>
      <c r="C8" s="454" t="s">
        <v>138</v>
      </c>
      <c r="D8" s="460" t="s">
        <v>139</v>
      </c>
      <c r="E8" s="454" t="s">
        <v>140</v>
      </c>
      <c r="F8" s="454" t="s">
        <v>141</v>
      </c>
      <c r="G8" s="440" t="s">
        <v>142</v>
      </c>
      <c r="H8" s="441" t="s">
        <v>143</v>
      </c>
      <c r="I8" s="451" t="s">
        <v>144</v>
      </c>
    </row>
    <row r="9" spans="1:11" s="10" customFormat="1" ht="16.399999999999999" customHeight="1" thickBot="1" x14ac:dyDescent="0.3">
      <c r="A9" s="458"/>
      <c r="B9" s="455"/>
      <c r="C9" s="455"/>
      <c r="D9" s="460"/>
      <c r="E9" s="455"/>
      <c r="F9" s="455"/>
      <c r="G9" s="441"/>
      <c r="H9" s="441"/>
      <c r="I9" s="452"/>
    </row>
    <row r="10" spans="1:11" s="10" customFormat="1" ht="16.399999999999999" customHeight="1" x14ac:dyDescent="0.25">
      <c r="A10" s="458"/>
      <c r="B10" s="456"/>
      <c r="C10" s="456"/>
      <c r="D10" s="460"/>
      <c r="E10" s="456"/>
      <c r="F10" s="456"/>
      <c r="G10" s="442"/>
      <c r="H10" s="442"/>
      <c r="I10" s="452"/>
      <c r="J10" s="435" t="s">
        <v>145</v>
      </c>
      <c r="K10" s="436"/>
    </row>
    <row r="11" spans="1:11" s="10" customFormat="1" ht="16.399999999999999" customHeight="1" thickBot="1" x14ac:dyDescent="0.3">
      <c r="A11" s="459"/>
      <c r="B11" s="457"/>
      <c r="C11" s="457"/>
      <c r="D11" s="461"/>
      <c r="E11" s="457"/>
      <c r="F11" s="457"/>
      <c r="G11" s="443"/>
      <c r="H11" s="443"/>
      <c r="I11" s="453"/>
      <c r="J11" s="437" t="s">
        <v>146</v>
      </c>
      <c r="K11" s="438"/>
    </row>
    <row r="12" spans="1:11" s="10" customFormat="1" ht="16.399999999999999" customHeight="1" x14ac:dyDescent="0.35">
      <c r="A12" s="32" t="s">
        <v>104</v>
      </c>
      <c r="B12" s="37">
        <f>+'2-Revenue'!B7</f>
        <v>22633056</v>
      </c>
      <c r="C12" s="33">
        <v>2615471</v>
      </c>
      <c r="D12" s="83">
        <f t="shared" ref="D12:D18" si="0">IF(C12=0,"%",C12/B12)</f>
        <v>0.11555978123325458</v>
      </c>
      <c r="E12" s="33">
        <v>2615471</v>
      </c>
      <c r="F12" s="33">
        <v>2328737</v>
      </c>
      <c r="G12" s="89">
        <v>1214441</v>
      </c>
      <c r="H12" s="140">
        <f>B12+F12+G12</f>
        <v>26176234</v>
      </c>
      <c r="I12" s="149">
        <f>IF(H12=0,"%",(F12+G12)/H12)</f>
        <v>0.1353585851960217</v>
      </c>
      <c r="J12" s="84">
        <f>(C12+C14+C16)-(E12+E14+E16)</f>
        <v>-120</v>
      </c>
      <c r="K12" s="85" t="str">
        <f>IF(J12&gt;0,"WARNING: IS subsidizing OS","Compliant")</f>
        <v>Compliant</v>
      </c>
    </row>
    <row r="13" spans="1:11" s="10" customFormat="1" ht="15" customHeight="1" x14ac:dyDescent="0.35">
      <c r="A13" s="34" t="s">
        <v>105</v>
      </c>
      <c r="B13" s="38">
        <f>+'2-Revenue'!B8</f>
        <v>3570796.81</v>
      </c>
      <c r="C13" s="33">
        <v>381102</v>
      </c>
      <c r="D13" s="83">
        <f t="shared" si="0"/>
        <v>0.10672743935827589</v>
      </c>
      <c r="E13" s="33">
        <v>381102</v>
      </c>
      <c r="F13" s="33">
        <v>263739</v>
      </c>
      <c r="G13" s="89">
        <v>26801</v>
      </c>
      <c r="H13" s="141">
        <f t="shared" ref="H13:H17" si="1">B13+F13+G13</f>
        <v>3861336.81</v>
      </c>
      <c r="I13" s="149">
        <f t="shared" ref="I13:I18" si="2">IF(H13=0,"%",(F13+G13)/H13)</f>
        <v>7.5243371478904988E-2</v>
      </c>
    </row>
    <row r="14" spans="1:11" s="10" customFormat="1" ht="15" customHeight="1" x14ac:dyDescent="0.35">
      <c r="A14" s="34" t="s">
        <v>106</v>
      </c>
      <c r="B14" s="38">
        <f>+'2-Revenue'!B9</f>
        <v>6793057.2699999996</v>
      </c>
      <c r="C14" s="33">
        <v>0</v>
      </c>
      <c r="D14" s="83" t="str">
        <f t="shared" si="0"/>
        <v>%</v>
      </c>
      <c r="E14" s="33">
        <v>120</v>
      </c>
      <c r="F14" s="33">
        <f>0</f>
        <v>0</v>
      </c>
      <c r="G14" s="89">
        <v>230244</v>
      </c>
      <c r="H14" s="141">
        <f t="shared" si="1"/>
        <v>7023301.2699999996</v>
      </c>
      <c r="I14" s="149">
        <f t="shared" si="2"/>
        <v>3.2782873914790789E-2</v>
      </c>
    </row>
    <row r="15" spans="1:11" s="10" customFormat="1" ht="15" customHeight="1" x14ac:dyDescent="0.35">
      <c r="A15" s="34" t="s">
        <v>107</v>
      </c>
      <c r="B15" s="38">
        <f>+'2-Revenue'!B10</f>
        <v>1567054.57</v>
      </c>
      <c r="C15" s="33">
        <f>0</f>
        <v>0</v>
      </c>
      <c r="D15" s="83" t="str">
        <f t="shared" si="0"/>
        <v>%</v>
      </c>
      <c r="E15" s="33">
        <f>0</f>
        <v>0</v>
      </c>
      <c r="F15" s="33">
        <f>0</f>
        <v>0</v>
      </c>
      <c r="G15" s="89">
        <v>9156</v>
      </c>
      <c r="H15" s="141">
        <f t="shared" si="1"/>
        <v>1576210.57</v>
      </c>
      <c r="I15" s="149">
        <f>IF(H15=0,"%",(F15+G15)/H15)</f>
        <v>5.8088685447655634E-3</v>
      </c>
    </row>
    <row r="16" spans="1:11" s="10" customFormat="1" ht="15" customHeight="1" x14ac:dyDescent="0.35">
      <c r="A16" s="34" t="s">
        <v>147</v>
      </c>
      <c r="B16" s="38">
        <f>+SUM('2-Revenue'!B11+'2-Revenue'!B13+'2-Revenue'!B15+'2-Revenue'!B17+'2-Revenue'!B19)</f>
        <v>0</v>
      </c>
      <c r="C16" s="33">
        <v>0</v>
      </c>
      <c r="D16" s="83" t="str">
        <f t="shared" si="0"/>
        <v>%</v>
      </c>
      <c r="E16" s="33">
        <v>0</v>
      </c>
      <c r="F16" s="33">
        <f>0</f>
        <v>0</v>
      </c>
      <c r="G16" s="89">
        <f>0</f>
        <v>0</v>
      </c>
      <c r="H16" s="141">
        <f t="shared" si="1"/>
        <v>0</v>
      </c>
      <c r="I16" s="149" t="str">
        <f t="shared" si="2"/>
        <v>%</v>
      </c>
    </row>
    <row r="17" spans="1:11" s="10" customFormat="1" ht="15" customHeight="1" thickBot="1" x14ac:dyDescent="0.4">
      <c r="A17" s="35" t="s">
        <v>148</v>
      </c>
      <c r="B17" s="38">
        <f>+SUM('2-Revenue'!B12+'2-Revenue'!B14+'2-Revenue'!B16+'2-Revenue'!B18+'2-Revenue'!B20)</f>
        <v>0</v>
      </c>
      <c r="C17" s="33">
        <f>0</f>
        <v>0</v>
      </c>
      <c r="D17" s="86" t="str">
        <f t="shared" si="0"/>
        <v>%</v>
      </c>
      <c r="E17" s="33">
        <f>0</f>
        <v>0</v>
      </c>
      <c r="F17" s="33">
        <f>0</f>
        <v>0</v>
      </c>
      <c r="G17" s="89">
        <f>0</f>
        <v>0</v>
      </c>
      <c r="H17" s="142">
        <f t="shared" si="1"/>
        <v>0</v>
      </c>
      <c r="I17" s="149" t="str">
        <f t="shared" si="2"/>
        <v>%</v>
      </c>
    </row>
    <row r="18" spans="1:11" s="10" customFormat="1" ht="15" customHeight="1" thickBot="1" x14ac:dyDescent="0.4">
      <c r="A18" s="36" t="s">
        <v>149</v>
      </c>
      <c r="B18" s="39">
        <f>SUM(B12:B17)</f>
        <v>34563964.649999999</v>
      </c>
      <c r="C18" s="39">
        <f t="shared" ref="C18:G18" si="3">SUM(C12:C17)</f>
        <v>2996573</v>
      </c>
      <c r="D18" s="87">
        <f t="shared" si="0"/>
        <v>8.6696449042919621E-2</v>
      </c>
      <c r="E18" s="39">
        <f t="shared" si="3"/>
        <v>2996693</v>
      </c>
      <c r="F18" s="39">
        <f t="shared" si="3"/>
        <v>2592476</v>
      </c>
      <c r="G18" s="39">
        <f t="shared" si="3"/>
        <v>1480642</v>
      </c>
      <c r="H18" s="143">
        <f t="shared" ref="H18" si="4">SUM(H12:H17)</f>
        <v>38637082.649999999</v>
      </c>
      <c r="I18" s="150">
        <f t="shared" si="2"/>
        <v>0.10541991580723034</v>
      </c>
    </row>
    <row r="19" spans="1:11" s="10" customFormat="1" ht="15" customHeight="1" x14ac:dyDescent="0.25">
      <c r="A19" s="439"/>
      <c r="B19" s="439"/>
      <c r="C19" s="439"/>
      <c r="D19" s="439"/>
      <c r="E19" s="439"/>
      <c r="I19" s="151"/>
    </row>
    <row r="20" spans="1:11" s="10" customFormat="1" ht="15" customHeight="1" x14ac:dyDescent="0.25">
      <c r="A20" s="444" t="s">
        <v>150</v>
      </c>
      <c r="B20" s="444"/>
      <c r="C20" s="444"/>
      <c r="D20" s="444"/>
      <c r="E20" s="444"/>
      <c r="F20" s="444"/>
      <c r="G20" s="444"/>
      <c r="H20" s="444"/>
      <c r="I20" s="148"/>
    </row>
    <row r="21" spans="1:11" ht="15" customHeight="1" x14ac:dyDescent="0.25">
      <c r="A21" s="458" t="s">
        <v>136</v>
      </c>
      <c r="B21" s="454" t="s">
        <v>137</v>
      </c>
      <c r="C21" s="454" t="s">
        <v>138</v>
      </c>
      <c r="D21" s="460" t="s">
        <v>139</v>
      </c>
      <c r="E21" s="454" t="s">
        <v>140</v>
      </c>
      <c r="F21" s="454" t="s">
        <v>141</v>
      </c>
      <c r="G21" s="454" t="s">
        <v>142</v>
      </c>
      <c r="H21" s="455" t="s">
        <v>143</v>
      </c>
      <c r="I21" s="451" t="s">
        <v>144</v>
      </c>
    </row>
    <row r="22" spans="1:11" s="10" customFormat="1" ht="15" customHeight="1" thickBot="1" x14ac:dyDescent="0.3">
      <c r="A22" s="458"/>
      <c r="B22" s="455"/>
      <c r="C22" s="455"/>
      <c r="D22" s="460"/>
      <c r="E22" s="455"/>
      <c r="F22" s="455"/>
      <c r="G22" s="455"/>
      <c r="H22" s="455"/>
      <c r="I22" s="452"/>
    </row>
    <row r="23" spans="1:11" s="10" customFormat="1" ht="16.399999999999999" customHeight="1" x14ac:dyDescent="0.25">
      <c r="A23" s="458"/>
      <c r="B23" s="456"/>
      <c r="C23" s="456"/>
      <c r="D23" s="460"/>
      <c r="E23" s="456"/>
      <c r="F23" s="456"/>
      <c r="G23" s="456"/>
      <c r="H23" s="456"/>
      <c r="I23" s="452"/>
      <c r="J23" s="462" t="s">
        <v>145</v>
      </c>
      <c r="K23" s="436"/>
    </row>
    <row r="24" spans="1:11" s="10" customFormat="1" ht="16.399999999999999" customHeight="1" thickBot="1" x14ac:dyDescent="0.3">
      <c r="A24" s="459"/>
      <c r="B24" s="457"/>
      <c r="C24" s="457"/>
      <c r="D24" s="461"/>
      <c r="E24" s="457"/>
      <c r="F24" s="457"/>
      <c r="G24" s="457"/>
      <c r="H24" s="457"/>
      <c r="I24" s="453"/>
      <c r="J24" s="463" t="s">
        <v>146</v>
      </c>
      <c r="K24" s="438"/>
    </row>
    <row r="25" spans="1:11" s="10" customFormat="1" ht="16.399999999999999" customHeight="1" x14ac:dyDescent="0.35">
      <c r="A25" s="32" t="s">
        <v>104</v>
      </c>
      <c r="B25" s="37">
        <f>+'2-Revenue'!C7</f>
        <v>23122660</v>
      </c>
      <c r="C25" s="33">
        <v>2576250</v>
      </c>
      <c r="D25" s="83">
        <f t="shared" ref="D25:D31" si="5">IF(C25=0,"%",C25/B25)</f>
        <v>0.11141667956887313</v>
      </c>
      <c r="E25" s="33">
        <v>2576250</v>
      </c>
      <c r="F25" s="33">
        <v>1890000</v>
      </c>
      <c r="G25" s="33">
        <v>1396607.15</v>
      </c>
      <c r="H25" s="91">
        <f>B25+F25+G25</f>
        <v>26409267.149999999</v>
      </c>
      <c r="I25" s="149">
        <f>IF(H25=0,"%",(F25+G25)/H25)</f>
        <v>0.12444900993778618</v>
      </c>
      <c r="J25" s="84">
        <f>(C25+C27+C29)-(E25+E27+E29)</f>
        <v>0</v>
      </c>
      <c r="K25" s="85" t="str">
        <f>IF(J25&gt;0,"WARNING: IS subsidizing OS","Compliant")</f>
        <v>Compliant</v>
      </c>
    </row>
    <row r="26" spans="1:11" s="10" customFormat="1" ht="16.399999999999999" customHeight="1" x14ac:dyDescent="0.35">
      <c r="A26" s="34" t="s">
        <v>105</v>
      </c>
      <c r="B26" s="38">
        <f>+'2-Revenue'!C8</f>
        <v>3337919.666666667</v>
      </c>
      <c r="C26" s="33">
        <v>419389</v>
      </c>
      <c r="D26" s="83">
        <f t="shared" si="5"/>
        <v>0.1256438266589</v>
      </c>
      <c r="E26" s="33">
        <v>419389</v>
      </c>
      <c r="F26" s="33">
        <v>210000</v>
      </c>
      <c r="G26" s="33">
        <v>30821.149999999998</v>
      </c>
      <c r="H26" s="92">
        <f t="shared" ref="H26:H30" si="6">B26+F26+G26</f>
        <v>3578740.8166666669</v>
      </c>
      <c r="I26" s="149">
        <f t="shared" ref="I26:I31" si="7">IF(H26=0,"%",(F26+G26)/H26)</f>
        <v>6.7292146130969926E-2</v>
      </c>
    </row>
    <row r="27" spans="1:11" s="10" customFormat="1" ht="15" customHeight="1" x14ac:dyDescent="0.35">
      <c r="A27" s="34" t="s">
        <v>106</v>
      </c>
      <c r="B27" s="38">
        <f>+'2-Revenue'!C9</f>
        <v>7880040</v>
      </c>
      <c r="C27" s="33">
        <f>0</f>
        <v>0</v>
      </c>
      <c r="D27" s="83" t="str">
        <f t="shared" si="5"/>
        <v>%</v>
      </c>
      <c r="E27" s="33">
        <f>0</f>
        <v>0</v>
      </c>
      <c r="F27" s="33">
        <f>0</f>
        <v>0</v>
      </c>
      <c r="G27" s="33">
        <v>264780.59999999998</v>
      </c>
      <c r="H27" s="92">
        <f t="shared" si="6"/>
        <v>8144820.5999999996</v>
      </c>
      <c r="I27" s="149">
        <f t="shared" si="7"/>
        <v>3.2509076995508042E-2</v>
      </c>
    </row>
    <row r="28" spans="1:11" s="10" customFormat="1" ht="15" customHeight="1" x14ac:dyDescent="0.35">
      <c r="A28" s="34" t="s">
        <v>107</v>
      </c>
      <c r="B28" s="38">
        <f>+'2-Revenue'!C10</f>
        <v>2120370</v>
      </c>
      <c r="C28" s="33">
        <f>0</f>
        <v>0</v>
      </c>
      <c r="D28" s="83" t="str">
        <f t="shared" si="5"/>
        <v>%</v>
      </c>
      <c r="E28" s="33">
        <f>0</f>
        <v>0</v>
      </c>
      <c r="F28" s="33">
        <f>0</f>
        <v>0</v>
      </c>
      <c r="G28" s="33">
        <v>10529.399999999998</v>
      </c>
      <c r="H28" s="92">
        <f t="shared" si="6"/>
        <v>2130899.4</v>
      </c>
      <c r="I28" s="149">
        <f t="shared" si="7"/>
        <v>4.9412938029829087E-3</v>
      </c>
    </row>
    <row r="29" spans="1:11" s="10" customFormat="1" ht="15" customHeight="1" x14ac:dyDescent="0.35">
      <c r="A29" s="34" t="s">
        <v>147</v>
      </c>
      <c r="B29" s="38">
        <f>+SUM('2-Revenue'!C11+'2-Revenue'!C13+'2-Revenue'!C15+'2-Revenue'!C17+'2-Revenue'!C19)</f>
        <v>0</v>
      </c>
      <c r="C29" s="33">
        <f>0</f>
        <v>0</v>
      </c>
      <c r="D29" s="83" t="str">
        <f t="shared" si="5"/>
        <v>%</v>
      </c>
      <c r="E29" s="33">
        <f>0</f>
        <v>0</v>
      </c>
      <c r="F29" s="33">
        <f>0</f>
        <v>0</v>
      </c>
      <c r="G29" s="33">
        <f>0</f>
        <v>0</v>
      </c>
      <c r="H29" s="92">
        <f t="shared" si="6"/>
        <v>0</v>
      </c>
      <c r="I29" s="149" t="str">
        <f t="shared" si="7"/>
        <v>%</v>
      </c>
    </row>
    <row r="30" spans="1:11" s="10" customFormat="1" ht="15" customHeight="1" thickBot="1" x14ac:dyDescent="0.4">
      <c r="A30" s="35" t="s">
        <v>148</v>
      </c>
      <c r="B30" s="38">
        <f>+SUM('2-Revenue'!C12+'2-Revenue'!C14+'2-Revenue'!C16+'2-Revenue'!C18+'2-Revenue'!C20)</f>
        <v>0</v>
      </c>
      <c r="C30" s="33">
        <f>0</f>
        <v>0</v>
      </c>
      <c r="D30" s="86" t="str">
        <f t="shared" si="5"/>
        <v>%</v>
      </c>
      <c r="E30" s="33">
        <f>0</f>
        <v>0</v>
      </c>
      <c r="F30" s="33">
        <f>0</f>
        <v>0</v>
      </c>
      <c r="G30" s="33">
        <f>0</f>
        <v>0</v>
      </c>
      <c r="H30" s="93">
        <f t="shared" si="6"/>
        <v>0</v>
      </c>
      <c r="I30" s="149" t="str">
        <f t="shared" si="7"/>
        <v>%</v>
      </c>
    </row>
    <row r="31" spans="1:11" s="10" customFormat="1" ht="15" customHeight="1" thickBot="1" x14ac:dyDescent="0.4">
      <c r="A31" s="36" t="s">
        <v>149</v>
      </c>
      <c r="B31" s="41">
        <f>SUM(B25:B30)</f>
        <v>36460989.666666672</v>
      </c>
      <c r="C31" s="41">
        <f t="shared" ref="C31:H31" si="8">SUM(C25:C30)</f>
        <v>2995639</v>
      </c>
      <c r="D31" s="87">
        <f t="shared" si="5"/>
        <v>8.2160112146891881E-2</v>
      </c>
      <c r="E31" s="41">
        <f t="shared" si="8"/>
        <v>2995639</v>
      </c>
      <c r="F31" s="39">
        <f t="shared" si="8"/>
        <v>2100000</v>
      </c>
      <c r="G31" s="39">
        <f t="shared" si="8"/>
        <v>1702738.2999999998</v>
      </c>
      <c r="H31" s="90">
        <f t="shared" si="8"/>
        <v>40263727.966666661</v>
      </c>
      <c r="I31" s="150">
        <f t="shared" si="7"/>
        <v>9.4445757808322969E-2</v>
      </c>
    </row>
    <row r="32" spans="1:11" s="10" customFormat="1" ht="15" customHeight="1" x14ac:dyDescent="0.35">
      <c r="A32" s="464"/>
      <c r="B32" s="464"/>
      <c r="C32" s="464"/>
      <c r="D32" s="464"/>
      <c r="E32" s="464"/>
      <c r="I32" s="151"/>
    </row>
    <row r="33" spans="1:11" s="10" customFormat="1" ht="15" customHeight="1" x14ac:dyDescent="0.25">
      <c r="A33" s="444" t="s">
        <v>151</v>
      </c>
      <c r="B33" s="444"/>
      <c r="C33" s="444"/>
      <c r="D33" s="444"/>
      <c r="E33" s="444"/>
      <c r="F33" s="444"/>
      <c r="G33" s="444"/>
      <c r="H33" s="444"/>
      <c r="I33" s="148"/>
    </row>
    <row r="34" spans="1:11" ht="15" customHeight="1" x14ac:dyDescent="0.25">
      <c r="A34" s="458" t="s">
        <v>136</v>
      </c>
      <c r="B34" s="454" t="s">
        <v>137</v>
      </c>
      <c r="C34" s="454" t="s">
        <v>138</v>
      </c>
      <c r="D34" s="460" t="s">
        <v>139</v>
      </c>
      <c r="E34" s="454" t="s">
        <v>140</v>
      </c>
      <c r="F34" s="454" t="s">
        <v>141</v>
      </c>
      <c r="G34" s="454" t="s">
        <v>142</v>
      </c>
      <c r="H34" s="455" t="s">
        <v>143</v>
      </c>
      <c r="I34" s="451" t="s">
        <v>144</v>
      </c>
    </row>
    <row r="35" spans="1:11" ht="12.65" customHeight="1" thickBot="1" x14ac:dyDescent="0.3">
      <c r="A35" s="458"/>
      <c r="B35" s="455"/>
      <c r="C35" s="455"/>
      <c r="D35" s="460"/>
      <c r="E35" s="455"/>
      <c r="F35" s="455"/>
      <c r="G35" s="455"/>
      <c r="H35" s="455"/>
      <c r="I35" s="452"/>
      <c r="J35" s="10"/>
    </row>
    <row r="36" spans="1:11" s="10" customFormat="1" ht="15" customHeight="1" x14ac:dyDescent="0.25">
      <c r="A36" s="458"/>
      <c r="B36" s="456"/>
      <c r="C36" s="456"/>
      <c r="D36" s="460"/>
      <c r="E36" s="456"/>
      <c r="F36" s="456"/>
      <c r="G36" s="456"/>
      <c r="H36" s="456"/>
      <c r="I36" s="452"/>
      <c r="J36" s="462" t="s">
        <v>145</v>
      </c>
      <c r="K36" s="436"/>
    </row>
    <row r="37" spans="1:11" s="10" customFormat="1" ht="16.399999999999999" customHeight="1" thickBot="1" x14ac:dyDescent="0.3">
      <c r="A37" s="459"/>
      <c r="B37" s="457"/>
      <c r="C37" s="457"/>
      <c r="D37" s="461"/>
      <c r="E37" s="457"/>
      <c r="F37" s="457"/>
      <c r="G37" s="457"/>
      <c r="H37" s="457"/>
      <c r="I37" s="453"/>
      <c r="J37" s="463" t="s">
        <v>146</v>
      </c>
      <c r="K37" s="438"/>
    </row>
    <row r="38" spans="1:11" s="10" customFormat="1" ht="16.399999999999999" customHeight="1" x14ac:dyDescent="0.35">
      <c r="A38" s="32" t="s">
        <v>104</v>
      </c>
      <c r="B38" s="37">
        <f>+'2-Revenue'!E7</f>
        <v>22953085</v>
      </c>
      <c r="C38" s="33">
        <v>2576250</v>
      </c>
      <c r="D38" s="83">
        <f t="shared" ref="D38:D44" si="9">IF(C38=0,"%",C38/B38)</f>
        <v>0.11223981438660642</v>
      </c>
      <c r="E38" s="33">
        <v>2576250</v>
      </c>
      <c r="F38" s="33">
        <v>1944809.9999999995</v>
      </c>
      <c r="G38" s="33">
        <v>1700217.4</v>
      </c>
      <c r="H38" s="91">
        <f>B38+F38+G38</f>
        <v>26598112.399999999</v>
      </c>
      <c r="I38" s="149">
        <f>IF(H38=0,"%",(F38+G38)/H38)</f>
        <v>0.13704083001017769</v>
      </c>
      <c r="J38" s="84">
        <f>(C38+C40+C42)-(E38+E40+E42)</f>
        <v>0</v>
      </c>
      <c r="K38" s="85" t="str">
        <f>IF(J38&gt;0,"WARNING: IS subsidizing OS","Compliant")</f>
        <v>Compliant</v>
      </c>
    </row>
    <row r="39" spans="1:11" s="10" customFormat="1" ht="16.399999999999999" customHeight="1" x14ac:dyDescent="0.35">
      <c r="A39" s="34" t="s">
        <v>105</v>
      </c>
      <c r="B39" s="40">
        <f>+'2-Revenue'!E8</f>
        <v>3443170</v>
      </c>
      <c r="C39" s="33">
        <v>419389</v>
      </c>
      <c r="D39" s="83">
        <f t="shared" si="9"/>
        <v>0.12180316394485315</v>
      </c>
      <c r="E39" s="33">
        <v>419389</v>
      </c>
      <c r="F39" s="33">
        <v>216090</v>
      </c>
      <c r="G39" s="33">
        <v>37521.4</v>
      </c>
      <c r="H39" s="92">
        <f t="shared" ref="H39:H43" si="10">B39+F39+G39</f>
        <v>3696781.4</v>
      </c>
      <c r="I39" s="149">
        <f t="shared" ref="I39:I44" si="11">IF(H39=0,"%",(F39+G39)/H39)</f>
        <v>6.8603299075244206E-2</v>
      </c>
    </row>
    <row r="40" spans="1:11" s="10" customFormat="1" ht="16.399999999999999" customHeight="1" x14ac:dyDescent="0.35">
      <c r="A40" s="34" t="s">
        <v>106</v>
      </c>
      <c r="B40" s="40">
        <f>+'2-Revenue'!E9</f>
        <v>8108960</v>
      </c>
      <c r="C40" s="33">
        <f>0</f>
        <v>0</v>
      </c>
      <c r="D40" s="83" t="str">
        <f t="shared" si="9"/>
        <v>%</v>
      </c>
      <c r="E40" s="33">
        <f>0</f>
        <v>0</v>
      </c>
      <c r="F40" s="33">
        <f>0</f>
        <v>0</v>
      </c>
      <c r="G40" s="33">
        <v>322341.59999999998</v>
      </c>
      <c r="H40" s="92">
        <f t="shared" si="10"/>
        <v>8431301.5999999996</v>
      </c>
      <c r="I40" s="149">
        <f t="shared" si="11"/>
        <v>3.8231534737175096E-2</v>
      </c>
    </row>
    <row r="41" spans="1:11" s="10" customFormat="1" ht="15" customHeight="1" x14ac:dyDescent="0.35">
      <c r="A41" s="34" t="s">
        <v>107</v>
      </c>
      <c r="B41" s="40">
        <f>+'2-Revenue'!E10</f>
        <v>2141530</v>
      </c>
      <c r="C41" s="33">
        <f>0</f>
        <v>0</v>
      </c>
      <c r="D41" s="83" t="str">
        <f t="shared" si="9"/>
        <v>%</v>
      </c>
      <c r="E41" s="33">
        <f>0</f>
        <v>0</v>
      </c>
      <c r="F41" s="33">
        <f>0</f>
        <v>0</v>
      </c>
      <c r="G41" s="33">
        <v>12818.399999999998</v>
      </c>
      <c r="H41" s="92">
        <f t="shared" si="10"/>
        <v>2154348.4</v>
      </c>
      <c r="I41" s="149">
        <f t="shared" si="11"/>
        <v>5.9500125420753665E-3</v>
      </c>
    </row>
    <row r="42" spans="1:11" s="10" customFormat="1" ht="15" customHeight="1" x14ac:dyDescent="0.35">
      <c r="A42" s="34" t="s">
        <v>147</v>
      </c>
      <c r="B42" s="38">
        <f>+SUM('2-Revenue'!E11+'2-Revenue'!E13+'2-Revenue'!E15+'2-Revenue'!E17+'2-Revenue'!E19)</f>
        <v>0</v>
      </c>
      <c r="C42" s="33">
        <f>0</f>
        <v>0</v>
      </c>
      <c r="D42" s="83" t="str">
        <f t="shared" si="9"/>
        <v>%</v>
      </c>
      <c r="E42" s="33">
        <f>0</f>
        <v>0</v>
      </c>
      <c r="F42" s="33">
        <f>0</f>
        <v>0</v>
      </c>
      <c r="G42" s="33">
        <f>0</f>
        <v>0</v>
      </c>
      <c r="H42" s="92">
        <f t="shared" si="10"/>
        <v>0</v>
      </c>
      <c r="I42" s="149" t="str">
        <f t="shared" si="11"/>
        <v>%</v>
      </c>
    </row>
    <row r="43" spans="1:11" s="10" customFormat="1" ht="15" customHeight="1" thickBot="1" x14ac:dyDescent="0.4">
      <c r="A43" s="35" t="s">
        <v>148</v>
      </c>
      <c r="B43" s="38">
        <f>+SUM('2-Revenue'!E12+'2-Revenue'!E14+'2-Revenue'!E16+'2-Revenue'!E18+'2-Revenue'!E20)</f>
        <v>0</v>
      </c>
      <c r="C43" s="33">
        <f>0</f>
        <v>0</v>
      </c>
      <c r="D43" s="83" t="str">
        <f t="shared" si="9"/>
        <v>%</v>
      </c>
      <c r="E43" s="33">
        <f>0</f>
        <v>0</v>
      </c>
      <c r="F43" s="33">
        <f>0</f>
        <v>0</v>
      </c>
      <c r="G43" s="33">
        <f>0</f>
        <v>0</v>
      </c>
      <c r="H43" s="93">
        <f t="shared" si="10"/>
        <v>0</v>
      </c>
      <c r="I43" s="149" t="str">
        <f t="shared" si="11"/>
        <v>%</v>
      </c>
    </row>
    <row r="44" spans="1:11" s="10" customFormat="1" ht="15" customHeight="1" thickBot="1" x14ac:dyDescent="0.4">
      <c r="A44" s="36" t="s">
        <v>149</v>
      </c>
      <c r="B44" s="41">
        <f>SUM(B38:B43)</f>
        <v>36646745</v>
      </c>
      <c r="C44" s="41">
        <f t="shared" ref="C44:H44" si="12">SUM(C38:C43)</f>
        <v>2995639</v>
      </c>
      <c r="D44" s="87">
        <f t="shared" si="9"/>
        <v>8.1743658270332059E-2</v>
      </c>
      <c r="E44" s="41">
        <f t="shared" si="12"/>
        <v>2995639</v>
      </c>
      <c r="F44" s="39">
        <f t="shared" si="12"/>
        <v>2160899.9999999995</v>
      </c>
      <c r="G44" s="39">
        <f t="shared" si="12"/>
        <v>2072898.7999999998</v>
      </c>
      <c r="H44" s="90">
        <f t="shared" si="12"/>
        <v>40880543.799999997</v>
      </c>
      <c r="I44" s="150">
        <f t="shared" si="11"/>
        <v>0.10356512918989104</v>
      </c>
    </row>
    <row r="45" spans="1:11" s="10" customFormat="1" ht="15" customHeight="1" x14ac:dyDescent="0.25">
      <c r="A45" s="465"/>
      <c r="B45" s="465"/>
      <c r="C45" s="465"/>
      <c r="D45" s="465"/>
      <c r="E45" s="465"/>
      <c r="I45" s="151"/>
    </row>
    <row r="46" spans="1:11" s="10" customFormat="1" ht="15" customHeight="1" x14ac:dyDescent="0.25">
      <c r="A46" s="444" t="s">
        <v>152</v>
      </c>
      <c r="B46" s="444"/>
      <c r="C46" s="444"/>
      <c r="D46" s="444"/>
      <c r="E46" s="444"/>
      <c r="F46" s="444"/>
      <c r="G46" s="444"/>
      <c r="H46" s="444"/>
      <c r="I46" s="148"/>
    </row>
    <row r="47" spans="1:11" ht="15" customHeight="1" x14ac:dyDescent="0.25">
      <c r="A47" s="458" t="s">
        <v>136</v>
      </c>
      <c r="B47" s="454" t="s">
        <v>137</v>
      </c>
      <c r="C47" s="454" t="s">
        <v>138</v>
      </c>
      <c r="D47" s="460" t="s">
        <v>139</v>
      </c>
      <c r="E47" s="454" t="s">
        <v>140</v>
      </c>
      <c r="F47" s="454" t="s">
        <v>141</v>
      </c>
      <c r="G47" s="454" t="s">
        <v>142</v>
      </c>
      <c r="H47" s="455" t="s">
        <v>143</v>
      </c>
      <c r="I47" s="451" t="s">
        <v>144</v>
      </c>
    </row>
    <row r="48" spans="1:11" ht="15" customHeight="1" thickBot="1" x14ac:dyDescent="0.3">
      <c r="A48" s="458"/>
      <c r="B48" s="455"/>
      <c r="C48" s="455"/>
      <c r="D48" s="460"/>
      <c r="E48" s="455"/>
      <c r="F48" s="455"/>
      <c r="G48" s="455"/>
      <c r="H48" s="455"/>
      <c r="I48" s="452"/>
      <c r="J48" s="10"/>
    </row>
    <row r="49" spans="1:11" ht="15" customHeight="1" x14ac:dyDescent="0.25">
      <c r="A49" s="458"/>
      <c r="B49" s="456"/>
      <c r="C49" s="456"/>
      <c r="D49" s="460"/>
      <c r="E49" s="456"/>
      <c r="F49" s="456"/>
      <c r="G49" s="456"/>
      <c r="H49" s="456"/>
      <c r="I49" s="452"/>
      <c r="J49" s="462" t="s">
        <v>145</v>
      </c>
      <c r="K49" s="436"/>
    </row>
    <row r="50" spans="1:11" ht="15" customHeight="1" thickBot="1" x14ac:dyDescent="0.3">
      <c r="A50" s="459"/>
      <c r="B50" s="457"/>
      <c r="C50" s="457"/>
      <c r="D50" s="461"/>
      <c r="E50" s="457"/>
      <c r="F50" s="457"/>
      <c r="G50" s="457"/>
      <c r="H50" s="457"/>
      <c r="I50" s="453"/>
      <c r="J50" s="463" t="s">
        <v>146</v>
      </c>
      <c r="K50" s="438"/>
    </row>
    <row r="51" spans="1:11" ht="15.5" x14ac:dyDescent="0.35">
      <c r="A51" s="32" t="s">
        <v>104</v>
      </c>
      <c r="B51" s="37">
        <f>+'2-Revenue'!G7</f>
        <v>22837400</v>
      </c>
      <c r="C51" s="33">
        <v>2576250</v>
      </c>
      <c r="D51" s="83">
        <f t="shared" ref="D51:D57" si="13">IF(C51=0,"%",C51/B51)</f>
        <v>0.11280837573454071</v>
      </c>
      <c r="E51" s="33">
        <v>2576250</v>
      </c>
      <c r="F51" s="33">
        <v>2001209.4899999993</v>
      </c>
      <c r="G51" s="33">
        <v>2380304.3599999994</v>
      </c>
      <c r="H51" s="91">
        <f>B51+F51+G51</f>
        <v>27218913.849999998</v>
      </c>
      <c r="I51" s="149">
        <f>IF(H51=0,"%",(F51+G51)/H51)</f>
        <v>0.16097313339341787</v>
      </c>
      <c r="J51" s="84">
        <f>(C51+C53+C55)-(E51+E53+E55)</f>
        <v>0</v>
      </c>
      <c r="K51" s="85" t="str">
        <f>IF(J51&gt;0,"WARNING: IS subsidizing OS","Compliant")</f>
        <v>Compliant</v>
      </c>
    </row>
    <row r="52" spans="1:11" ht="15.5" x14ac:dyDescent="0.35">
      <c r="A52" s="34" t="s">
        <v>105</v>
      </c>
      <c r="B52" s="40">
        <f>+'2-Revenue'!G8</f>
        <v>3188188</v>
      </c>
      <c r="C52" s="33">
        <v>419389</v>
      </c>
      <c r="D52" s="83">
        <f t="shared" si="13"/>
        <v>0.13154462660294813</v>
      </c>
      <c r="E52" s="33">
        <v>419389</v>
      </c>
      <c r="F52" s="33">
        <v>222356.60999999987</v>
      </c>
      <c r="G52" s="33">
        <v>52529.959999999992</v>
      </c>
      <c r="H52" s="92">
        <f t="shared" ref="H52:H56" si="14">B52+F52+G52</f>
        <v>3463074.57</v>
      </c>
      <c r="I52" s="149">
        <f t="shared" ref="I52:I57" si="15">IF(H52=0,"%",(F52+G52)/H52)</f>
        <v>7.9376451313319496E-2</v>
      </c>
    </row>
    <row r="53" spans="1:11" ht="15.5" x14ac:dyDescent="0.35">
      <c r="A53" s="34" t="s">
        <v>106</v>
      </c>
      <c r="B53" s="40">
        <f>+'2-Revenue'!G9</f>
        <v>8343780</v>
      </c>
      <c r="C53" s="33">
        <f>0</f>
        <v>0</v>
      </c>
      <c r="D53" s="83" t="str">
        <f t="shared" si="13"/>
        <v>%</v>
      </c>
      <c r="E53" s="33">
        <f>0</f>
        <v>0</v>
      </c>
      <c r="F53" s="33">
        <f>0</f>
        <v>0</v>
      </c>
      <c r="G53" s="33">
        <v>451278.23999999993</v>
      </c>
      <c r="H53" s="92">
        <f t="shared" si="14"/>
        <v>8795058.2400000002</v>
      </c>
      <c r="I53" s="149">
        <f t="shared" si="15"/>
        <v>5.1310432254738532E-2</v>
      </c>
    </row>
    <row r="54" spans="1:11" ht="15.5" x14ac:dyDescent="0.35">
      <c r="A54" s="34" t="s">
        <v>107</v>
      </c>
      <c r="B54" s="40">
        <f>+'2-Revenue'!G10</f>
        <v>2162920</v>
      </c>
      <c r="C54" s="33">
        <f>0</f>
        <v>0</v>
      </c>
      <c r="D54" s="83" t="str">
        <f t="shared" si="13"/>
        <v>%</v>
      </c>
      <c r="E54" s="33">
        <f>0</f>
        <v>0</v>
      </c>
      <c r="F54" s="33">
        <f>0</f>
        <v>0</v>
      </c>
      <c r="G54" s="33">
        <v>17945.759999999995</v>
      </c>
      <c r="H54" s="92">
        <f t="shared" si="14"/>
        <v>2180865.7599999998</v>
      </c>
      <c r="I54" s="149">
        <f t="shared" si="15"/>
        <v>8.2287320609774704E-3</v>
      </c>
    </row>
    <row r="55" spans="1:11" ht="15.5" x14ac:dyDescent="0.35">
      <c r="A55" s="34" t="s">
        <v>147</v>
      </c>
      <c r="B55" s="38">
        <f>+SUM('2-Revenue'!G11+'2-Revenue'!G13+'2-Revenue'!G15+'2-Revenue'!G17+'2-Revenue'!G19)</f>
        <v>0</v>
      </c>
      <c r="C55" s="33">
        <f>0</f>
        <v>0</v>
      </c>
      <c r="D55" s="83" t="str">
        <f t="shared" si="13"/>
        <v>%</v>
      </c>
      <c r="E55" s="33">
        <f>0</f>
        <v>0</v>
      </c>
      <c r="F55" s="33">
        <f>0</f>
        <v>0</v>
      </c>
      <c r="G55" s="33">
        <f>0</f>
        <v>0</v>
      </c>
      <c r="H55" s="92">
        <f t="shared" si="14"/>
        <v>0</v>
      </c>
      <c r="I55" s="149" t="str">
        <f t="shared" si="15"/>
        <v>%</v>
      </c>
    </row>
    <row r="56" spans="1:11" ht="16" thickBot="1" x14ac:dyDescent="0.4">
      <c r="A56" s="35" t="s">
        <v>148</v>
      </c>
      <c r="B56" s="38">
        <f>+SUM('2-Revenue'!G12+'2-Revenue'!G14+'2-Revenue'!G16+'2-Revenue'!G18+'2-Revenue'!G20)</f>
        <v>0</v>
      </c>
      <c r="C56" s="33">
        <f>0</f>
        <v>0</v>
      </c>
      <c r="D56" s="83" t="str">
        <f t="shared" si="13"/>
        <v>%</v>
      </c>
      <c r="E56" s="33">
        <f>0</f>
        <v>0</v>
      </c>
      <c r="F56" s="33">
        <f>0</f>
        <v>0</v>
      </c>
      <c r="G56" s="33">
        <f>0</f>
        <v>0</v>
      </c>
      <c r="H56" s="93">
        <f t="shared" si="14"/>
        <v>0</v>
      </c>
      <c r="I56" s="149" t="str">
        <f t="shared" si="15"/>
        <v>%</v>
      </c>
    </row>
    <row r="57" spans="1:11" ht="16" thickBot="1" x14ac:dyDescent="0.4">
      <c r="A57" s="36" t="s">
        <v>149</v>
      </c>
      <c r="B57" s="41">
        <f>SUM(B51:B56)</f>
        <v>36532288</v>
      </c>
      <c r="C57" s="41">
        <f t="shared" ref="C57:H57" si="16">SUM(C51:C56)</f>
        <v>2995639</v>
      </c>
      <c r="D57" s="87">
        <f t="shared" si="13"/>
        <v>8.1999764153835641E-2</v>
      </c>
      <c r="E57" s="41">
        <f t="shared" si="16"/>
        <v>2995639</v>
      </c>
      <c r="F57" s="39">
        <f t="shared" si="16"/>
        <v>2223566.0999999992</v>
      </c>
      <c r="G57" s="39">
        <f t="shared" si="16"/>
        <v>2902058.3199999989</v>
      </c>
      <c r="H57" s="90">
        <f t="shared" si="16"/>
        <v>41657912.419999994</v>
      </c>
      <c r="I57" s="150">
        <f t="shared" si="15"/>
        <v>0.12304083719613329</v>
      </c>
      <c r="J57" s="88"/>
    </row>
    <row r="58" spans="1:11" ht="15.5" x14ac:dyDescent="0.35">
      <c r="A58" s="165"/>
      <c r="B58" s="166"/>
      <c r="C58" s="166"/>
      <c r="D58" s="167"/>
      <c r="E58" s="166"/>
      <c r="F58" s="168"/>
      <c r="G58" s="168"/>
      <c r="H58" s="168"/>
      <c r="I58" s="169"/>
      <c r="J58" s="88"/>
    </row>
    <row r="59" spans="1:11" ht="15.5" x14ac:dyDescent="0.25">
      <c r="A59" s="444" t="s">
        <v>153</v>
      </c>
      <c r="B59" s="444"/>
      <c r="C59" s="444"/>
      <c r="D59" s="444"/>
      <c r="E59" s="444"/>
      <c r="F59" s="444"/>
      <c r="G59" s="444"/>
      <c r="H59" s="444"/>
      <c r="I59" s="148"/>
      <c r="J59" s="10"/>
      <c r="K59" s="10"/>
    </row>
    <row r="60" spans="1:11" ht="12.75" customHeight="1" x14ac:dyDescent="0.25">
      <c r="A60" s="458" t="s">
        <v>136</v>
      </c>
      <c r="B60" s="454" t="s">
        <v>137</v>
      </c>
      <c r="C60" s="454" t="s">
        <v>138</v>
      </c>
      <c r="D60" s="460" t="s">
        <v>139</v>
      </c>
      <c r="E60" s="454" t="s">
        <v>140</v>
      </c>
      <c r="F60" s="454" t="s">
        <v>141</v>
      </c>
      <c r="G60" s="454" t="s">
        <v>142</v>
      </c>
      <c r="H60" s="455" t="s">
        <v>143</v>
      </c>
      <c r="I60" s="451" t="s">
        <v>144</v>
      </c>
    </row>
    <row r="61" spans="1:11" ht="13.5" customHeight="1" thickBot="1" x14ac:dyDescent="0.3">
      <c r="A61" s="458"/>
      <c r="B61" s="455"/>
      <c r="C61" s="455"/>
      <c r="D61" s="460"/>
      <c r="E61" s="455"/>
      <c r="F61" s="455"/>
      <c r="G61" s="455"/>
      <c r="H61" s="455"/>
      <c r="I61" s="452"/>
      <c r="J61" s="10"/>
    </row>
    <row r="62" spans="1:11" ht="12.75" customHeight="1" x14ac:dyDescent="0.25">
      <c r="A62" s="458"/>
      <c r="B62" s="456"/>
      <c r="C62" s="456"/>
      <c r="D62" s="460"/>
      <c r="E62" s="456"/>
      <c r="F62" s="456"/>
      <c r="G62" s="456"/>
      <c r="H62" s="456"/>
      <c r="I62" s="452"/>
      <c r="J62" s="462" t="s">
        <v>145</v>
      </c>
      <c r="K62" s="436"/>
    </row>
    <row r="63" spans="1:11" ht="19.5" customHeight="1" thickBot="1" x14ac:dyDescent="0.3">
      <c r="A63" s="459"/>
      <c r="B63" s="457"/>
      <c r="C63" s="457"/>
      <c r="D63" s="461"/>
      <c r="E63" s="457"/>
      <c r="F63" s="457"/>
      <c r="G63" s="457"/>
      <c r="H63" s="457"/>
      <c r="I63" s="453"/>
      <c r="J63" s="463" t="s">
        <v>146</v>
      </c>
      <c r="K63" s="438"/>
    </row>
    <row r="64" spans="1:11" ht="15.5" x14ac:dyDescent="0.35">
      <c r="A64" s="32" t="s">
        <v>104</v>
      </c>
      <c r="B64" s="37">
        <f>+'2-Revenue'!I7</f>
        <v>22010975</v>
      </c>
      <c r="C64" s="33">
        <v>2576250</v>
      </c>
      <c r="D64" s="83">
        <f t="shared" ref="D64:D70" si="17">IF(C64=0,"%",C64/B64)</f>
        <v>0.11704388378979123</v>
      </c>
      <c r="E64" s="33">
        <v>2576250</v>
      </c>
      <c r="F64" s="33">
        <v>2059244.5652099994</v>
      </c>
      <c r="G64" s="33">
        <v>2451713.4907999998</v>
      </c>
      <c r="H64" s="91">
        <f>B64+F64+G64</f>
        <v>26521933.05601</v>
      </c>
      <c r="I64" s="149">
        <f>IF(H64=0,"%",(F64+G64)/H64)</f>
        <v>0.17008406010540753</v>
      </c>
      <c r="J64" s="84">
        <f>(C64+C66+C68)-(E64+E66+E68)</f>
        <v>0</v>
      </c>
      <c r="K64" s="85" t="str">
        <f>IF(J64&gt;0,"WARNING: IS subsidizing OS","Compliant")</f>
        <v>Compliant</v>
      </c>
    </row>
    <row r="65" spans="1:11" ht="15.5" x14ac:dyDescent="0.35">
      <c r="A65" s="34" t="s">
        <v>105</v>
      </c>
      <c r="B65" s="37">
        <f>+'2-Revenue'!I8</f>
        <v>3315915.666666667</v>
      </c>
      <c r="C65" s="33">
        <v>419389</v>
      </c>
      <c r="D65" s="83">
        <f t="shared" si="17"/>
        <v>0.12647758331610162</v>
      </c>
      <c r="E65" s="33">
        <v>419389</v>
      </c>
      <c r="F65" s="33">
        <v>228804.95168999978</v>
      </c>
      <c r="G65" s="33">
        <v>54105.858799999995</v>
      </c>
      <c r="H65" s="92">
        <f t="shared" ref="H65:H69" si="18">B65+F65+G65</f>
        <v>3598826.4771566666</v>
      </c>
      <c r="I65" s="149">
        <f t="shared" ref="I65:I70" si="19">IF(H65=0,"%",(F65+G65)/H65)</f>
        <v>7.8611962062010779E-2</v>
      </c>
    </row>
    <row r="66" spans="1:11" ht="15.5" x14ac:dyDescent="0.35">
      <c r="A66" s="34" t="s">
        <v>106</v>
      </c>
      <c r="B66" s="37">
        <f>+'2-Revenue'!I9</f>
        <v>8343780</v>
      </c>
      <c r="C66" s="33">
        <f>0</f>
        <v>0</v>
      </c>
      <c r="D66" s="83" t="str">
        <f t="shared" si="17"/>
        <v>%</v>
      </c>
      <c r="E66" s="33">
        <f>0</f>
        <v>0</v>
      </c>
      <c r="F66" s="33">
        <f>0</f>
        <v>0</v>
      </c>
      <c r="G66" s="33">
        <v>464816.58719999995</v>
      </c>
      <c r="H66" s="92">
        <f t="shared" si="18"/>
        <v>8808596.5872000009</v>
      </c>
      <c r="I66" s="149">
        <f t="shared" si="19"/>
        <v>5.2768517958404058E-2</v>
      </c>
    </row>
    <row r="67" spans="1:11" ht="15.5" x14ac:dyDescent="0.35">
      <c r="A67" s="34" t="s">
        <v>107</v>
      </c>
      <c r="B67" s="37">
        <f>+'2-Revenue'!I10</f>
        <v>2162920</v>
      </c>
      <c r="C67" s="33">
        <f>0</f>
        <v>0</v>
      </c>
      <c r="D67" s="83" t="str">
        <f t="shared" si="17"/>
        <v>%</v>
      </c>
      <c r="E67" s="33">
        <f>0</f>
        <v>0</v>
      </c>
      <c r="F67" s="33">
        <f>0</f>
        <v>0</v>
      </c>
      <c r="G67" s="33">
        <v>18484.132799999996</v>
      </c>
      <c r="H67" s="92">
        <f t="shared" si="18"/>
        <v>2181404.1327999998</v>
      </c>
      <c r="I67" s="149">
        <f t="shared" si="19"/>
        <v>8.4735022374208997E-3</v>
      </c>
    </row>
    <row r="68" spans="1:11" ht="15.5" x14ac:dyDescent="0.35">
      <c r="A68" s="34" t="s">
        <v>147</v>
      </c>
      <c r="B68" s="38">
        <f>+SUM('2-Revenue'!I11+'2-Revenue'!I13+'2-Revenue'!I15+'2-Revenue'!I17+'2-Revenue'!I19)</f>
        <v>0</v>
      </c>
      <c r="C68" s="33">
        <f>0</f>
        <v>0</v>
      </c>
      <c r="D68" s="83" t="str">
        <f t="shared" si="17"/>
        <v>%</v>
      </c>
      <c r="E68" s="33">
        <f>0</f>
        <v>0</v>
      </c>
      <c r="F68" s="33">
        <f>0</f>
        <v>0</v>
      </c>
      <c r="G68" s="33">
        <f>0</f>
        <v>0</v>
      </c>
      <c r="H68" s="92">
        <f t="shared" si="18"/>
        <v>0</v>
      </c>
      <c r="I68" s="149" t="str">
        <f t="shared" si="19"/>
        <v>%</v>
      </c>
    </row>
    <row r="69" spans="1:11" ht="16" thickBot="1" x14ac:dyDescent="0.4">
      <c r="A69" s="35" t="s">
        <v>148</v>
      </c>
      <c r="B69" s="38">
        <f>+SUM('2-Revenue'!I12+'2-Revenue'!I14+'2-Revenue'!I16+'2-Revenue'!I18+'2-Revenue'!I20)</f>
        <v>0</v>
      </c>
      <c r="C69" s="33">
        <f>0</f>
        <v>0</v>
      </c>
      <c r="D69" s="83" t="str">
        <f t="shared" si="17"/>
        <v>%</v>
      </c>
      <c r="E69" s="33">
        <f>0</f>
        <v>0</v>
      </c>
      <c r="F69" s="33">
        <f>0</f>
        <v>0</v>
      </c>
      <c r="G69" s="33">
        <f>0</f>
        <v>0</v>
      </c>
      <c r="H69" s="93">
        <f t="shared" si="18"/>
        <v>0</v>
      </c>
      <c r="I69" s="149" t="str">
        <f t="shared" si="19"/>
        <v>%</v>
      </c>
    </row>
    <row r="70" spans="1:11" ht="16" thickBot="1" x14ac:dyDescent="0.4">
      <c r="A70" s="36" t="s">
        <v>149</v>
      </c>
      <c r="B70" s="41">
        <f>SUM(B64:B69)</f>
        <v>35833590.666666672</v>
      </c>
      <c r="C70" s="41">
        <f t="shared" ref="C70" si="20">SUM(C64:C69)</f>
        <v>2995639</v>
      </c>
      <c r="D70" s="87">
        <f t="shared" si="17"/>
        <v>8.3598627552181656E-2</v>
      </c>
      <c r="E70" s="41">
        <f t="shared" ref="E70:H70" si="21">SUM(E64:E69)</f>
        <v>2995639</v>
      </c>
      <c r="F70" s="39">
        <f t="shared" si="21"/>
        <v>2288049.5168999992</v>
      </c>
      <c r="G70" s="39">
        <f t="shared" si="21"/>
        <v>2989120.0695999996</v>
      </c>
      <c r="H70" s="90">
        <f t="shared" si="21"/>
        <v>41110760.253166661</v>
      </c>
      <c r="I70" s="150">
        <f t="shared" si="19"/>
        <v>0.12836468004975682</v>
      </c>
      <c r="J70" s="88"/>
    </row>
    <row r="71" spans="1:11" ht="15.5" x14ac:dyDescent="0.35">
      <c r="A71" s="165"/>
      <c r="B71" s="166"/>
      <c r="C71" s="166"/>
      <c r="D71" s="167"/>
      <c r="E71" s="166"/>
      <c r="F71" s="168"/>
      <c r="G71" s="168"/>
      <c r="H71" s="168"/>
      <c r="I71" s="169"/>
      <c r="J71" s="88"/>
    </row>
    <row r="72" spans="1:11" ht="12.75" customHeight="1" x14ac:dyDescent="0.25">
      <c r="A72" s="444" t="s">
        <v>154</v>
      </c>
      <c r="B72" s="444"/>
      <c r="C72" s="444"/>
      <c r="D72" s="444"/>
      <c r="E72" s="444"/>
      <c r="F72" s="444"/>
      <c r="G72" s="444"/>
      <c r="H72" s="444"/>
      <c r="I72" s="148"/>
      <c r="J72" s="10"/>
      <c r="K72" s="10"/>
    </row>
    <row r="73" spans="1:11" ht="13.5" customHeight="1" x14ac:dyDescent="0.25">
      <c r="A73" s="458" t="s">
        <v>136</v>
      </c>
      <c r="B73" s="454" t="s">
        <v>137</v>
      </c>
      <c r="C73" s="454" t="s">
        <v>138</v>
      </c>
      <c r="D73" s="460" t="s">
        <v>139</v>
      </c>
      <c r="E73" s="454" t="s">
        <v>140</v>
      </c>
      <c r="F73" s="454" t="s">
        <v>141</v>
      </c>
      <c r="G73" s="454" t="s">
        <v>142</v>
      </c>
      <c r="H73" s="455" t="s">
        <v>143</v>
      </c>
      <c r="I73" s="451" t="s">
        <v>144</v>
      </c>
    </row>
    <row r="74" spans="1:11" ht="13.5" customHeight="1" thickBot="1" x14ac:dyDescent="0.3">
      <c r="A74" s="458"/>
      <c r="B74" s="455"/>
      <c r="C74" s="455"/>
      <c r="D74" s="460"/>
      <c r="E74" s="455"/>
      <c r="F74" s="455"/>
      <c r="G74" s="455"/>
      <c r="H74" s="455"/>
      <c r="I74" s="452"/>
      <c r="J74" s="10"/>
    </row>
    <row r="75" spans="1:11" ht="12.75" customHeight="1" x14ac:dyDescent="0.25">
      <c r="A75" s="458"/>
      <c r="B75" s="456"/>
      <c r="C75" s="456"/>
      <c r="D75" s="460"/>
      <c r="E75" s="456"/>
      <c r="F75" s="456"/>
      <c r="G75" s="456"/>
      <c r="H75" s="456"/>
      <c r="I75" s="452"/>
      <c r="J75" s="462" t="s">
        <v>145</v>
      </c>
      <c r="K75" s="436"/>
    </row>
    <row r="76" spans="1:11" ht="22.5" customHeight="1" thickBot="1" x14ac:dyDescent="0.3">
      <c r="A76" s="459"/>
      <c r="B76" s="457"/>
      <c r="C76" s="457"/>
      <c r="D76" s="461"/>
      <c r="E76" s="457"/>
      <c r="F76" s="457"/>
      <c r="G76" s="457"/>
      <c r="H76" s="457"/>
      <c r="I76" s="453"/>
      <c r="J76" s="463" t="s">
        <v>146</v>
      </c>
      <c r="K76" s="438"/>
    </row>
    <row r="77" spans="1:11" ht="15.5" x14ac:dyDescent="0.35">
      <c r="A77" s="32" t="s">
        <v>104</v>
      </c>
      <c r="B77" s="37">
        <f>+'2-Revenue'!K7</f>
        <v>21625625</v>
      </c>
      <c r="C77" s="33">
        <v>2576250</v>
      </c>
      <c r="D77" s="83">
        <f t="shared" ref="D77:D83" si="22">IF(C77=0,"%",C77/B77)</f>
        <v>0.11912950492760326</v>
      </c>
      <c r="E77" s="33">
        <v>2576250</v>
      </c>
      <c r="F77" s="33">
        <v>2118962.6576010892</v>
      </c>
      <c r="G77" s="33">
        <v>2525264.8955239998</v>
      </c>
      <c r="H77" s="91">
        <f>B77+F77+G77</f>
        <v>26269852.553125087</v>
      </c>
      <c r="I77" s="149">
        <f>IF(H77=0,"%",(F77+G77)/H77)</f>
        <v>0.17678925086211064</v>
      </c>
      <c r="J77" s="84">
        <f>(C77+C79+C81)-(E77+E79+E81)</f>
        <v>0</v>
      </c>
      <c r="K77" s="85" t="str">
        <f>IF(J77&gt;0,"WARNING: IS subsidizing OS","Compliant")</f>
        <v>Compliant</v>
      </c>
    </row>
    <row r="78" spans="1:11" ht="15.5" x14ac:dyDescent="0.35">
      <c r="A78" s="34" t="s">
        <v>105</v>
      </c>
      <c r="B78" s="37">
        <f>+'2-Revenue'!K8</f>
        <v>3571371.666666667</v>
      </c>
      <c r="C78" s="33">
        <v>419389</v>
      </c>
      <c r="D78" s="83">
        <f t="shared" si="22"/>
        <v>0.11743079106393761</v>
      </c>
      <c r="E78" s="33">
        <v>419389</v>
      </c>
      <c r="F78" s="33">
        <v>235440.29528900981</v>
      </c>
      <c r="G78" s="33">
        <v>55729.034564000001</v>
      </c>
      <c r="H78" s="92">
        <f t="shared" ref="H78:H82" si="23">B78+F78+G78</f>
        <v>3862540.9965196769</v>
      </c>
      <c r="I78" s="149">
        <f t="shared" ref="I78:I83" si="24">IF(H78=0,"%",(F78+G78)/H78)</f>
        <v>7.5382845156948874E-2</v>
      </c>
    </row>
    <row r="79" spans="1:11" ht="15.5" x14ac:dyDescent="0.35">
      <c r="A79" s="34" t="s">
        <v>106</v>
      </c>
      <c r="B79" s="37">
        <f>+'2-Revenue'!K9</f>
        <v>8343780</v>
      </c>
      <c r="C79" s="33">
        <f>0</f>
        <v>0</v>
      </c>
      <c r="D79" s="83" t="str">
        <f t="shared" si="22"/>
        <v>%</v>
      </c>
      <c r="E79" s="33">
        <f>0</f>
        <v>0</v>
      </c>
      <c r="F79" s="33">
        <f>0</f>
        <v>0</v>
      </c>
      <c r="G79" s="33">
        <v>478761.08481600002</v>
      </c>
      <c r="H79" s="92">
        <f t="shared" si="23"/>
        <v>8822541.0848159995</v>
      </c>
      <c r="I79" s="149">
        <f t="shared" si="24"/>
        <v>5.4265667930973982E-2</v>
      </c>
    </row>
    <row r="80" spans="1:11" ht="15.5" x14ac:dyDescent="0.35">
      <c r="A80" s="34" t="s">
        <v>107</v>
      </c>
      <c r="B80" s="37">
        <f>+'2-Revenue'!K10</f>
        <v>2162920</v>
      </c>
      <c r="C80" s="33">
        <f>0</f>
        <v>0</v>
      </c>
      <c r="D80" s="83" t="str">
        <f t="shared" si="22"/>
        <v>%</v>
      </c>
      <c r="E80" s="33">
        <f>0</f>
        <v>0</v>
      </c>
      <c r="F80" s="33">
        <f>0</f>
        <v>0</v>
      </c>
      <c r="G80" s="33">
        <v>19038.656783999999</v>
      </c>
      <c r="H80" s="92">
        <f t="shared" si="23"/>
        <v>2181958.6567839999</v>
      </c>
      <c r="I80" s="149">
        <f t="shared" si="24"/>
        <v>8.7254892409653513E-3</v>
      </c>
    </row>
    <row r="81" spans="1:10" ht="15.5" x14ac:dyDescent="0.35">
      <c r="A81" s="34" t="s">
        <v>147</v>
      </c>
      <c r="B81" s="38">
        <f>+SUM('2-Revenue'!K11+'2-Revenue'!K13+'2-Revenue'!K15+'2-Revenue'!K17+'2-Revenue'!K19)</f>
        <v>0</v>
      </c>
      <c r="C81" s="33">
        <f>0</f>
        <v>0</v>
      </c>
      <c r="D81" s="83" t="str">
        <f t="shared" si="22"/>
        <v>%</v>
      </c>
      <c r="E81" s="33">
        <f>0</f>
        <v>0</v>
      </c>
      <c r="F81" s="33">
        <f>0</f>
        <v>0</v>
      </c>
      <c r="G81" s="33">
        <f>0</f>
        <v>0</v>
      </c>
      <c r="H81" s="92">
        <f t="shared" si="23"/>
        <v>0</v>
      </c>
      <c r="I81" s="149" t="str">
        <f t="shared" si="24"/>
        <v>%</v>
      </c>
    </row>
    <row r="82" spans="1:10" ht="16" thickBot="1" x14ac:dyDescent="0.4">
      <c r="A82" s="35" t="s">
        <v>148</v>
      </c>
      <c r="B82" s="38">
        <f>+SUM('2-Revenue'!K12+'2-Revenue'!K14+'2-Revenue'!K16+'2-Revenue'!K18+'2-Revenue'!K20)</f>
        <v>0</v>
      </c>
      <c r="C82" s="33">
        <f>0</f>
        <v>0</v>
      </c>
      <c r="D82" s="83" t="str">
        <f t="shared" si="22"/>
        <v>%</v>
      </c>
      <c r="E82" s="33">
        <f>0</f>
        <v>0</v>
      </c>
      <c r="F82" s="33">
        <f>0</f>
        <v>0</v>
      </c>
      <c r="G82" s="33">
        <f>0</f>
        <v>0</v>
      </c>
      <c r="H82" s="93">
        <f t="shared" si="23"/>
        <v>0</v>
      </c>
      <c r="I82" s="149" t="str">
        <f t="shared" si="24"/>
        <v>%</v>
      </c>
    </row>
    <row r="83" spans="1:10" ht="16" thickBot="1" x14ac:dyDescent="0.4">
      <c r="A83" s="36" t="s">
        <v>149</v>
      </c>
      <c r="B83" s="41">
        <f>SUM(B77:B82)</f>
        <v>35703696.666666672</v>
      </c>
      <c r="C83" s="41">
        <f t="shared" ref="C83" si="25">SUM(C77:C82)</f>
        <v>2995639</v>
      </c>
      <c r="D83" s="87">
        <f t="shared" si="22"/>
        <v>8.3902768611541514E-2</v>
      </c>
      <c r="E83" s="41">
        <f t="shared" ref="E83:H83" si="26">SUM(E77:E82)</f>
        <v>2995639</v>
      </c>
      <c r="F83" s="39">
        <f t="shared" si="26"/>
        <v>2354402.952890099</v>
      </c>
      <c r="G83" s="39">
        <f t="shared" si="26"/>
        <v>3078793.6716879997</v>
      </c>
      <c r="H83" s="90">
        <f t="shared" si="26"/>
        <v>41136893.29124476</v>
      </c>
      <c r="I83" s="150">
        <f t="shared" si="24"/>
        <v>0.13207600744450129</v>
      </c>
      <c r="J83" s="88"/>
    </row>
    <row r="84" spans="1:10" ht="15.5" x14ac:dyDescent="0.35">
      <c r="A84" s="165"/>
      <c r="B84" s="166"/>
      <c r="C84" s="166"/>
      <c r="D84" s="167"/>
      <c r="E84" s="166"/>
      <c r="F84" s="168"/>
      <c r="G84" s="168"/>
      <c r="H84" s="168"/>
      <c r="I84" s="169"/>
      <c r="J84" s="88"/>
    </row>
    <row r="85" spans="1:10" ht="15.5" x14ac:dyDescent="0.25">
      <c r="A85" s="444" t="s">
        <v>155</v>
      </c>
      <c r="B85" s="444"/>
      <c r="C85" s="444"/>
      <c r="D85" s="444"/>
      <c r="E85" s="444"/>
      <c r="F85" s="444"/>
      <c r="G85" s="444"/>
      <c r="H85" s="444"/>
      <c r="I85" s="148"/>
      <c r="J85" s="88"/>
    </row>
    <row r="86" spans="1:10" ht="12.75" customHeight="1" x14ac:dyDescent="0.25">
      <c r="A86" s="458" t="s">
        <v>136</v>
      </c>
      <c r="B86" s="454" t="s">
        <v>137</v>
      </c>
      <c r="C86" s="454" t="s">
        <v>138</v>
      </c>
      <c r="D86" s="460" t="s">
        <v>139</v>
      </c>
      <c r="E86" s="454" t="s">
        <v>140</v>
      </c>
      <c r="F86" s="454" t="s">
        <v>141</v>
      </c>
      <c r="G86" s="454" t="s">
        <v>142</v>
      </c>
      <c r="H86" s="455" t="s">
        <v>143</v>
      </c>
      <c r="I86" s="451" t="s">
        <v>144</v>
      </c>
      <c r="J86" s="88"/>
    </row>
    <row r="87" spans="1:10" ht="12.75" customHeight="1" x14ac:dyDescent="0.25">
      <c r="A87" s="458"/>
      <c r="B87" s="455"/>
      <c r="C87" s="455"/>
      <c r="D87" s="460"/>
      <c r="E87" s="455"/>
      <c r="F87" s="455"/>
      <c r="G87" s="455"/>
      <c r="H87" s="455"/>
      <c r="I87" s="452"/>
      <c r="J87" s="88"/>
    </row>
    <row r="88" spans="1:10" ht="12.75" customHeight="1" x14ac:dyDescent="0.25">
      <c r="A88" s="458"/>
      <c r="B88" s="456"/>
      <c r="C88" s="456"/>
      <c r="D88" s="460"/>
      <c r="E88" s="456"/>
      <c r="F88" s="456"/>
      <c r="G88" s="456"/>
      <c r="H88" s="456"/>
      <c r="I88" s="452"/>
      <c r="J88" s="88"/>
    </row>
    <row r="89" spans="1:10" ht="21.75" customHeight="1" thickBot="1" x14ac:dyDescent="0.3">
      <c r="A89" s="459"/>
      <c r="B89" s="457"/>
      <c r="C89" s="457"/>
      <c r="D89" s="461"/>
      <c r="E89" s="457"/>
      <c r="F89" s="457"/>
      <c r="G89" s="457"/>
      <c r="H89" s="457"/>
      <c r="I89" s="453"/>
      <c r="J89" s="88"/>
    </row>
    <row r="90" spans="1:10" ht="15.5" x14ac:dyDescent="0.35">
      <c r="A90" s="32" t="s">
        <v>104</v>
      </c>
      <c r="B90" s="37">
        <f>+'2-Revenue'!M7</f>
        <v>21598100</v>
      </c>
      <c r="C90" s="33">
        <v>2576250</v>
      </c>
      <c r="D90" s="83">
        <f t="shared" ref="D90:D96" si="27">IF(C90=0,"%",C90/B90)</f>
        <v>0.11928132567216561</v>
      </c>
      <c r="E90" s="33">
        <v>2576250</v>
      </c>
      <c r="F90" s="33">
        <v>2180412.5746715204</v>
      </c>
      <c r="G90" s="33">
        <v>2601022.84238972</v>
      </c>
      <c r="H90" s="91">
        <f>B90+F90+G90</f>
        <v>26379535.417061243</v>
      </c>
      <c r="I90" s="149">
        <f>IF(H90=0,"%",(F90+G90)/H90)</f>
        <v>0.18125548238308992</v>
      </c>
      <c r="J90" s="88"/>
    </row>
    <row r="91" spans="1:10" ht="15.5" x14ac:dyDescent="0.35">
      <c r="A91" s="34" t="s">
        <v>105</v>
      </c>
      <c r="B91" s="37">
        <f>+'2-Revenue'!M8</f>
        <v>3911979.666666667</v>
      </c>
      <c r="C91" s="33">
        <v>419389</v>
      </c>
      <c r="D91" s="83">
        <f t="shared" si="27"/>
        <v>0.10720633432058567</v>
      </c>
      <c r="E91" s="33">
        <v>419389</v>
      </c>
      <c r="F91" s="33">
        <v>242268.06385239121</v>
      </c>
      <c r="G91" s="33">
        <v>57400.905600919999</v>
      </c>
      <c r="H91" s="92">
        <f t="shared" ref="H91:H95" si="28">B91+F91+G91</f>
        <v>4211648.6361199785</v>
      </c>
      <c r="I91" s="149">
        <f t="shared" ref="I91:I96" si="29">IF(H91=0,"%",(F91+G91)/H91)</f>
        <v>7.1152414492340957E-2</v>
      </c>
      <c r="J91" s="88"/>
    </row>
    <row r="92" spans="1:10" ht="15.5" x14ac:dyDescent="0.35">
      <c r="A92" s="34" t="s">
        <v>106</v>
      </c>
      <c r="B92" s="37">
        <f>+'2-Revenue'!M9</f>
        <v>8343780</v>
      </c>
      <c r="C92" s="33">
        <f>0</f>
        <v>0</v>
      </c>
      <c r="D92" s="83" t="str">
        <f t="shared" si="27"/>
        <v>%</v>
      </c>
      <c r="E92" s="33">
        <f>0</f>
        <v>0</v>
      </c>
      <c r="F92" s="33">
        <f>0</f>
        <v>0</v>
      </c>
      <c r="G92" s="33">
        <v>493123.91736048</v>
      </c>
      <c r="H92" s="92">
        <f t="shared" si="28"/>
        <v>8836903.9173604809</v>
      </c>
      <c r="I92" s="149">
        <f t="shared" si="29"/>
        <v>5.5802792694363994E-2</v>
      </c>
      <c r="J92" s="88"/>
    </row>
    <row r="93" spans="1:10" ht="15.5" x14ac:dyDescent="0.35">
      <c r="A93" s="34" t="s">
        <v>107</v>
      </c>
      <c r="B93" s="37">
        <f>+'2-Revenue'!M10</f>
        <v>2162920</v>
      </c>
      <c r="C93" s="33">
        <f>0</f>
        <v>0</v>
      </c>
      <c r="D93" s="83" t="str">
        <f t="shared" si="27"/>
        <v>%</v>
      </c>
      <c r="E93" s="33">
        <f>0</f>
        <v>0</v>
      </c>
      <c r="F93" s="33">
        <f>0</f>
        <v>0</v>
      </c>
      <c r="G93" s="33">
        <v>19609.816487519998</v>
      </c>
      <c r="H93" s="92">
        <f t="shared" si="28"/>
        <v>2182529.81648752</v>
      </c>
      <c r="I93" s="149">
        <f t="shared" si="29"/>
        <v>8.9849019882254286E-3</v>
      </c>
      <c r="J93" s="88"/>
    </row>
    <row r="94" spans="1:10" ht="15.5" x14ac:dyDescent="0.35">
      <c r="A94" s="34" t="s">
        <v>147</v>
      </c>
      <c r="B94" s="38">
        <f>+SUM('2-Revenue'!M11+'2-Revenue'!M13+'2-Revenue'!M15+'2-Revenue'!M17+'2-Revenue'!M19)</f>
        <v>0</v>
      </c>
      <c r="C94" s="33">
        <f>0</f>
        <v>0</v>
      </c>
      <c r="D94" s="83" t="str">
        <f t="shared" si="27"/>
        <v>%</v>
      </c>
      <c r="E94" s="33">
        <f>0</f>
        <v>0</v>
      </c>
      <c r="F94" s="33">
        <f>0</f>
        <v>0</v>
      </c>
      <c r="G94" s="33">
        <f>0</f>
        <v>0</v>
      </c>
      <c r="H94" s="92">
        <f t="shared" si="28"/>
        <v>0</v>
      </c>
      <c r="I94" s="149" t="str">
        <f t="shared" si="29"/>
        <v>%</v>
      </c>
      <c r="J94" s="88"/>
    </row>
    <row r="95" spans="1:10" ht="16" thickBot="1" x14ac:dyDescent="0.4">
      <c r="A95" s="35" t="s">
        <v>148</v>
      </c>
      <c r="B95" s="38">
        <f>+SUM('2-Revenue'!M12+'2-Revenue'!M14+'2-Revenue'!M16+'2-Revenue'!M18+'2-Revenue'!M20)</f>
        <v>0</v>
      </c>
      <c r="C95" s="33">
        <f>0</f>
        <v>0</v>
      </c>
      <c r="D95" s="83" t="str">
        <f t="shared" si="27"/>
        <v>%</v>
      </c>
      <c r="E95" s="33">
        <f>0</f>
        <v>0</v>
      </c>
      <c r="F95" s="33">
        <f>0</f>
        <v>0</v>
      </c>
      <c r="G95" s="33">
        <f>0</f>
        <v>0</v>
      </c>
      <c r="H95" s="93">
        <f t="shared" si="28"/>
        <v>0</v>
      </c>
      <c r="I95" s="149" t="str">
        <f t="shared" si="29"/>
        <v>%</v>
      </c>
      <c r="J95" s="88"/>
    </row>
    <row r="96" spans="1:10" ht="16" thickBot="1" x14ac:dyDescent="0.4">
      <c r="A96" s="36" t="s">
        <v>149</v>
      </c>
      <c r="B96" s="41">
        <f>SUM(B90:B95)</f>
        <v>36016779.666666672</v>
      </c>
      <c r="C96" s="41">
        <f t="shared" ref="C96" si="30">SUM(C90:C95)</f>
        <v>2995639</v>
      </c>
      <c r="D96" s="87">
        <f t="shared" si="27"/>
        <v>8.3173427156022148E-2</v>
      </c>
      <c r="E96" s="41">
        <f t="shared" ref="E96:H96" si="31">SUM(E90:E95)</f>
        <v>2995639</v>
      </c>
      <c r="F96" s="39">
        <f t="shared" si="31"/>
        <v>2422680.6385239116</v>
      </c>
      <c r="G96" s="39">
        <f t="shared" si="31"/>
        <v>3171157.4818386398</v>
      </c>
      <c r="H96" s="90">
        <f t="shared" si="31"/>
        <v>41610617.787029222</v>
      </c>
      <c r="I96" s="150">
        <f t="shared" si="29"/>
        <v>0.13443295047895809</v>
      </c>
      <c r="J96" s="88"/>
    </row>
    <row r="97" spans="1:10" ht="15.5" x14ac:dyDescent="0.35">
      <c r="A97" s="165"/>
      <c r="B97" s="166"/>
      <c r="C97" s="166"/>
      <c r="D97" s="167"/>
      <c r="E97" s="166"/>
      <c r="F97" s="168"/>
      <c r="G97" s="168"/>
      <c r="H97" s="168"/>
      <c r="I97" s="169"/>
      <c r="J97" s="88"/>
    </row>
    <row r="98" spans="1:10" ht="15.5" x14ac:dyDescent="0.25">
      <c r="A98" s="467" t="s">
        <v>156</v>
      </c>
      <c r="B98" s="468"/>
      <c r="C98" s="468"/>
      <c r="D98" s="468"/>
      <c r="E98" s="468"/>
      <c r="F98" s="468"/>
      <c r="G98" s="468"/>
      <c r="H98" s="469"/>
      <c r="I98" s="148"/>
      <c r="J98" s="88"/>
    </row>
    <row r="99" spans="1:10" ht="12.75" customHeight="1" x14ac:dyDescent="0.25">
      <c r="A99" s="456" t="s">
        <v>136</v>
      </c>
      <c r="B99" s="456" t="s">
        <v>137</v>
      </c>
      <c r="C99" s="456" t="s">
        <v>138</v>
      </c>
      <c r="D99" s="456" t="s">
        <v>139</v>
      </c>
      <c r="E99" s="456" t="s">
        <v>140</v>
      </c>
      <c r="F99" s="456" t="s">
        <v>141</v>
      </c>
      <c r="G99" s="456" t="s">
        <v>142</v>
      </c>
      <c r="H99" s="456" t="s">
        <v>143</v>
      </c>
      <c r="I99" s="451" t="s">
        <v>144</v>
      </c>
      <c r="J99" s="88"/>
    </row>
    <row r="100" spans="1:10" ht="12.75" customHeight="1" x14ac:dyDescent="0.25">
      <c r="A100" s="460"/>
      <c r="B100" s="460"/>
      <c r="C100" s="460"/>
      <c r="D100" s="460"/>
      <c r="E100" s="460"/>
      <c r="F100" s="460"/>
      <c r="G100" s="460"/>
      <c r="H100" s="460"/>
      <c r="I100" s="452"/>
      <c r="J100" s="88"/>
    </row>
    <row r="101" spans="1:10" ht="12.75" customHeight="1" x14ac:dyDescent="0.25">
      <c r="A101" s="460"/>
      <c r="B101" s="460"/>
      <c r="C101" s="460"/>
      <c r="D101" s="460"/>
      <c r="E101" s="460"/>
      <c r="F101" s="460"/>
      <c r="G101" s="460"/>
      <c r="H101" s="460"/>
      <c r="I101" s="452"/>
      <c r="J101" s="88"/>
    </row>
    <row r="102" spans="1:10" ht="22.5" customHeight="1" thickBot="1" x14ac:dyDescent="0.3">
      <c r="A102" s="461"/>
      <c r="B102" s="461"/>
      <c r="C102" s="461"/>
      <c r="D102" s="461"/>
      <c r="E102" s="461"/>
      <c r="F102" s="461"/>
      <c r="G102" s="461"/>
      <c r="H102" s="461"/>
      <c r="I102" s="453"/>
      <c r="J102" s="88"/>
    </row>
    <row r="103" spans="1:10" ht="15.5" x14ac:dyDescent="0.35">
      <c r="A103" s="32" t="s">
        <v>104</v>
      </c>
      <c r="B103" s="37">
        <f>+'2-Revenue'!O7</f>
        <v>22488075</v>
      </c>
      <c r="C103" s="33">
        <v>2576250</v>
      </c>
      <c r="D103" s="83">
        <f t="shared" ref="D103:D109" si="32">IF(C103=0,"%",C103/B103)</f>
        <v>0.11456071718010545</v>
      </c>
      <c r="E103" s="33">
        <v>2576250</v>
      </c>
      <c r="F103" s="33">
        <v>2243644.5393369948</v>
      </c>
      <c r="G103" s="33">
        <v>2759425.1334912539</v>
      </c>
      <c r="H103" s="91">
        <f>B103+F103+G103</f>
        <v>27491144.67282825</v>
      </c>
      <c r="I103" s="149">
        <f>IF(H103=0,"%",(F103+G103)/H103)</f>
        <v>0.18198840871741481</v>
      </c>
      <c r="J103" s="88"/>
    </row>
    <row r="104" spans="1:10" ht="15.5" x14ac:dyDescent="0.35">
      <c r="A104" s="34" t="s">
        <v>105</v>
      </c>
      <c r="B104" s="37">
        <f>+'2-Revenue'!O8</f>
        <v>4444179.666666667</v>
      </c>
      <c r="C104" s="33">
        <v>419389</v>
      </c>
      <c r="D104" s="83">
        <f t="shared" si="32"/>
        <v>9.4368146982356474E-2</v>
      </c>
      <c r="E104" s="33">
        <v>419389</v>
      </c>
      <c r="F104" s="33">
        <v>249293.83770411042</v>
      </c>
      <c r="G104" s="33">
        <v>60896.620752016024</v>
      </c>
      <c r="H104" s="92">
        <f t="shared" ref="H104:H108" si="33">B104+F104+G104</f>
        <v>4754370.125122793</v>
      </c>
      <c r="I104" s="149">
        <f t="shared" ref="I104:I109" si="34">IF(H104=0,"%",(F104+G104)/H104)</f>
        <v>6.5243228922593613E-2</v>
      </c>
      <c r="J104" s="88"/>
    </row>
    <row r="105" spans="1:10" ht="15.5" x14ac:dyDescent="0.35">
      <c r="A105" s="34" t="s">
        <v>106</v>
      </c>
      <c r="B105" s="37">
        <f>+'2-Revenue'!O9</f>
        <v>8343780</v>
      </c>
      <c r="C105" s="33">
        <f>0</f>
        <v>0</v>
      </c>
      <c r="D105" s="83" t="str">
        <f t="shared" si="32"/>
        <v>%</v>
      </c>
      <c r="E105" s="33">
        <f>0</f>
        <v>0</v>
      </c>
      <c r="F105" s="33">
        <f>0</f>
        <v>0</v>
      </c>
      <c r="G105" s="33">
        <v>523155.1639277332</v>
      </c>
      <c r="H105" s="92">
        <f t="shared" si="33"/>
        <v>8866935.1639277339</v>
      </c>
      <c r="I105" s="149">
        <f t="shared" si="34"/>
        <v>5.9000675459545626E-2</v>
      </c>
      <c r="J105" s="88"/>
    </row>
    <row r="106" spans="1:10" ht="15.5" x14ac:dyDescent="0.35">
      <c r="A106" s="34" t="s">
        <v>107</v>
      </c>
      <c r="B106" s="37">
        <f>+'2-Revenue'!O10</f>
        <v>2162920</v>
      </c>
      <c r="C106" s="33">
        <f>0</f>
        <v>0</v>
      </c>
      <c r="D106" s="83" t="str">
        <f t="shared" si="32"/>
        <v>%</v>
      </c>
      <c r="E106" s="33">
        <f>0</f>
        <v>0</v>
      </c>
      <c r="F106" s="33">
        <f>0</f>
        <v>0</v>
      </c>
      <c r="G106" s="33">
        <v>20804.054311609965</v>
      </c>
      <c r="H106" s="92">
        <f t="shared" si="33"/>
        <v>2183724.0543116098</v>
      </c>
      <c r="I106" s="149">
        <f t="shared" si="34"/>
        <v>9.5268696017401198E-3</v>
      </c>
      <c r="J106" s="88"/>
    </row>
    <row r="107" spans="1:10" ht="15.5" x14ac:dyDescent="0.35">
      <c r="A107" s="34" t="s">
        <v>147</v>
      </c>
      <c r="B107" s="38">
        <f>+SUM('2-Revenue'!O11+'2-Revenue'!O13+'2-Revenue'!O15+'2-Revenue'!O17+'2-Revenue'!O19)</f>
        <v>0</v>
      </c>
      <c r="C107" s="33">
        <f>0</f>
        <v>0</v>
      </c>
      <c r="D107" s="83" t="str">
        <f t="shared" si="32"/>
        <v>%</v>
      </c>
      <c r="E107" s="33">
        <f>0</f>
        <v>0</v>
      </c>
      <c r="F107" s="33">
        <f>0</f>
        <v>0</v>
      </c>
      <c r="G107" s="33">
        <f>0</f>
        <v>0</v>
      </c>
      <c r="H107" s="92">
        <f t="shared" si="33"/>
        <v>0</v>
      </c>
      <c r="I107" s="149" t="str">
        <f t="shared" si="34"/>
        <v>%</v>
      </c>
      <c r="J107" s="88"/>
    </row>
    <row r="108" spans="1:10" ht="16" thickBot="1" x14ac:dyDescent="0.4">
      <c r="A108" s="35" t="s">
        <v>148</v>
      </c>
      <c r="B108" s="38">
        <f>+SUM('2-Revenue'!O12+'2-Revenue'!O14+'2-Revenue'!O16+'2-Revenue'!O18+'2-Revenue'!O20)</f>
        <v>0</v>
      </c>
      <c r="C108" s="33">
        <f>0</f>
        <v>0</v>
      </c>
      <c r="D108" s="83" t="str">
        <f t="shared" si="32"/>
        <v>%</v>
      </c>
      <c r="E108" s="33">
        <f>0</f>
        <v>0</v>
      </c>
      <c r="F108" s="33">
        <f>0</f>
        <v>0</v>
      </c>
      <c r="G108" s="33">
        <f>0</f>
        <v>0</v>
      </c>
      <c r="H108" s="93">
        <f t="shared" si="33"/>
        <v>0</v>
      </c>
      <c r="I108" s="149" t="str">
        <f t="shared" si="34"/>
        <v>%</v>
      </c>
      <c r="J108" s="88"/>
    </row>
    <row r="109" spans="1:10" ht="16" thickBot="1" x14ac:dyDescent="0.4">
      <c r="A109" s="36" t="s">
        <v>149</v>
      </c>
      <c r="B109" s="41">
        <f>SUM(B103:B108)</f>
        <v>37438954.666666672</v>
      </c>
      <c r="C109" s="41">
        <f t="shared" ref="C109" si="35">SUM(C103:C108)</f>
        <v>2995639</v>
      </c>
      <c r="D109" s="87">
        <f t="shared" si="32"/>
        <v>8.0013959435334653E-2</v>
      </c>
      <c r="E109" s="41">
        <f t="shared" ref="E109:H109" si="36">SUM(E103:E108)</f>
        <v>2995639</v>
      </c>
      <c r="F109" s="39">
        <f t="shared" si="36"/>
        <v>2492938.3770411052</v>
      </c>
      <c r="G109" s="39">
        <f t="shared" si="36"/>
        <v>3364280.9724826133</v>
      </c>
      <c r="H109" s="90">
        <f t="shared" si="36"/>
        <v>43296174.016190387</v>
      </c>
      <c r="I109" s="150">
        <f t="shared" si="34"/>
        <v>0.1352826082815872</v>
      </c>
      <c r="J109" s="88"/>
    </row>
    <row r="111" spans="1:10" ht="72.75" customHeight="1" x14ac:dyDescent="0.25">
      <c r="A111" s="466" t="s">
        <v>157</v>
      </c>
      <c r="B111" s="466"/>
      <c r="C111" s="466"/>
      <c r="D111" s="466"/>
      <c r="E111" s="466"/>
      <c r="F111" s="466"/>
      <c r="G111" s="466"/>
      <c r="H111" s="466"/>
      <c r="I111" s="152"/>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topLeftCell="A40" zoomScale="75" zoomScaleNormal="75" workbookViewId="0">
      <selection activeCell="K56" sqref="K56"/>
    </sheetView>
  </sheetViews>
  <sheetFormatPr defaultColWidth="9.1796875" defaultRowHeight="12.5" x14ac:dyDescent="0.25"/>
  <cols>
    <col min="1" max="1" width="9.81640625" style="102" customWidth="1"/>
    <col min="2" max="2" width="7.1796875" style="102" customWidth="1"/>
    <col min="3" max="3" width="51.7265625" style="333" customWidth="1"/>
    <col min="4" max="4" width="18.54296875" style="102" customWidth="1"/>
    <col min="5" max="5" width="15.453125" style="102" customWidth="1"/>
    <col min="6" max="7" width="18.54296875" style="102" customWidth="1"/>
    <col min="8" max="8" width="21.81640625" style="102" customWidth="1"/>
    <col min="9" max="9" width="18.453125" style="102" customWidth="1"/>
    <col min="10" max="11" width="20.26953125" style="102" customWidth="1"/>
    <col min="12" max="12" width="22.1796875" style="102" customWidth="1"/>
    <col min="13" max="15" width="20.26953125" style="102" customWidth="1"/>
    <col min="16" max="16" width="18.1796875" style="102" customWidth="1"/>
    <col min="17" max="17" width="84.1796875" style="102" customWidth="1"/>
    <col min="18" max="16384" width="9.1796875" style="102"/>
  </cols>
  <sheetData>
    <row r="1" spans="1:17" ht="20.149999999999999" customHeight="1" x14ac:dyDescent="0.25">
      <c r="A1" s="189" t="s">
        <v>158</v>
      </c>
      <c r="B1" s="189"/>
      <c r="C1" s="323"/>
      <c r="D1" s="189"/>
      <c r="E1" s="189"/>
      <c r="F1" s="189"/>
      <c r="G1" s="189"/>
      <c r="H1" s="189"/>
      <c r="I1" s="189"/>
      <c r="J1" s="189"/>
      <c r="K1" s="189"/>
      <c r="L1" s="189"/>
      <c r="M1" s="189"/>
      <c r="N1" s="189"/>
      <c r="O1" s="189"/>
    </row>
    <row r="2" spans="1:17" ht="20.149999999999999" customHeight="1" x14ac:dyDescent="0.25">
      <c r="A2" s="474" t="str">
        <f>'Institution ID'!C3</f>
        <v>Longwood University</v>
      </c>
      <c r="B2" s="474"/>
      <c r="C2" s="474"/>
      <c r="D2" s="474"/>
      <c r="E2" s="474"/>
      <c r="F2" s="474"/>
      <c r="G2" s="474"/>
      <c r="H2" s="474"/>
      <c r="I2" s="474"/>
      <c r="J2" s="474"/>
      <c r="K2" s="376"/>
      <c r="L2" s="376"/>
      <c r="M2" s="376"/>
      <c r="N2" s="376"/>
      <c r="O2" s="376"/>
    </row>
    <row r="3" spans="1:17" ht="297.75" customHeight="1" x14ac:dyDescent="0.25">
      <c r="A3" s="475" t="s">
        <v>356</v>
      </c>
      <c r="B3" s="476"/>
      <c r="C3" s="476"/>
      <c r="D3" s="476"/>
      <c r="E3" s="476"/>
      <c r="F3" s="476"/>
      <c r="G3" s="476"/>
      <c r="H3" s="476"/>
      <c r="I3" s="476"/>
      <c r="J3" s="476"/>
      <c r="K3" s="476"/>
      <c r="L3" s="476"/>
      <c r="M3" s="476"/>
      <c r="N3" s="476"/>
      <c r="O3" s="476"/>
      <c r="P3" s="476"/>
      <c r="Q3" s="476"/>
    </row>
    <row r="4" spans="1:17" ht="30.75" customHeight="1" thickBot="1" x14ac:dyDescent="0.3">
      <c r="A4" s="377"/>
      <c r="B4" s="477" t="s">
        <v>159</v>
      </c>
      <c r="C4" s="477"/>
      <c r="D4" s="477"/>
      <c r="E4" s="377"/>
      <c r="F4" s="377"/>
      <c r="G4" s="377"/>
      <c r="H4" s="334" t="s">
        <v>160</v>
      </c>
      <c r="I4" s="377"/>
      <c r="J4" s="377"/>
      <c r="K4" s="377"/>
      <c r="L4" s="334" t="s">
        <v>161</v>
      </c>
      <c r="M4" s="377"/>
      <c r="N4" s="377"/>
      <c r="O4" s="377"/>
      <c r="P4" s="377"/>
      <c r="Q4" s="377"/>
    </row>
    <row r="5" spans="1:17" ht="20.149999999999999" customHeight="1" x14ac:dyDescent="0.25">
      <c r="A5" s="219"/>
      <c r="B5" s="195" t="s">
        <v>162</v>
      </c>
      <c r="C5" s="324"/>
      <c r="D5" s="197">
        <v>79195144</v>
      </c>
      <c r="E5" s="188"/>
      <c r="F5" s="188"/>
      <c r="G5" s="188"/>
      <c r="H5" s="335" t="s">
        <v>163</v>
      </c>
      <c r="I5" s="188"/>
      <c r="J5" s="188"/>
      <c r="K5" s="188"/>
      <c r="L5" s="335" t="s">
        <v>163</v>
      </c>
      <c r="M5" s="188"/>
      <c r="N5" s="188"/>
      <c r="O5" s="188"/>
      <c r="P5" s="188"/>
    </row>
    <row r="6" spans="1:17" ht="20.149999999999999" customHeight="1" thickBot="1" x14ac:dyDescent="0.3">
      <c r="A6" s="219"/>
      <c r="B6" s="196" t="s">
        <v>164</v>
      </c>
      <c r="C6" s="325"/>
      <c r="D6" s="198">
        <v>82056659</v>
      </c>
      <c r="E6" s="188"/>
      <c r="F6" s="188"/>
      <c r="G6" s="188"/>
      <c r="H6" s="393">
        <f>IFERROR(SUM(H12:H20)/SUM(E12:E20),"%")</f>
        <v>0.60300016970699</v>
      </c>
      <c r="I6" s="188"/>
      <c r="J6" s="188"/>
      <c r="K6" s="188"/>
      <c r="L6" s="393">
        <f>IFERROR(SUM(L12:L20)/SUM(I12:I20),"%")</f>
        <v>0.6028257893595218</v>
      </c>
      <c r="M6" s="188"/>
      <c r="N6" s="188"/>
      <c r="O6" s="188"/>
      <c r="P6" s="188"/>
    </row>
    <row r="7" spans="1:17" ht="20.149999999999999" customHeight="1" x14ac:dyDescent="0.25">
      <c r="A7" s="219"/>
      <c r="B7" s="190"/>
      <c r="C7" s="326"/>
      <c r="D7" s="191"/>
      <c r="E7" s="188"/>
      <c r="F7" s="188"/>
      <c r="G7" s="188"/>
      <c r="H7" s="336"/>
      <c r="I7" s="188"/>
      <c r="J7" s="188"/>
      <c r="K7" s="188"/>
      <c r="L7" s="336"/>
      <c r="M7" s="188"/>
      <c r="N7" s="188"/>
      <c r="O7" s="188"/>
      <c r="P7" s="188"/>
    </row>
    <row r="8" spans="1:17" ht="20.149999999999999" customHeight="1" x14ac:dyDescent="0.25">
      <c r="A8" s="219"/>
      <c r="B8" s="190"/>
      <c r="C8" s="326"/>
      <c r="D8" s="191"/>
      <c r="E8" s="483" t="s">
        <v>165</v>
      </c>
      <c r="F8" s="484"/>
      <c r="G8" s="484"/>
      <c r="H8" s="484"/>
      <c r="I8" s="484"/>
      <c r="J8" s="484"/>
      <c r="K8" s="484"/>
      <c r="L8" s="484"/>
      <c r="M8" s="484"/>
      <c r="N8" s="484"/>
      <c r="O8" s="484"/>
      <c r="P8" s="485"/>
    </row>
    <row r="9" spans="1:17" ht="16.5" customHeight="1" x14ac:dyDescent="0.25">
      <c r="A9" s="220"/>
      <c r="B9" s="472"/>
      <c r="C9" s="473"/>
      <c r="D9" s="221"/>
      <c r="E9" s="478" t="s">
        <v>166</v>
      </c>
      <c r="F9" s="479"/>
      <c r="G9" s="479"/>
      <c r="H9" s="480"/>
      <c r="I9" s="478" t="s">
        <v>167</v>
      </c>
      <c r="J9" s="479"/>
      <c r="K9" s="479"/>
      <c r="L9" s="480"/>
      <c r="M9" s="209" t="s">
        <v>168</v>
      </c>
      <c r="N9" s="209" t="s">
        <v>169</v>
      </c>
      <c r="O9" s="209" t="s">
        <v>170</v>
      </c>
      <c r="P9" s="209" t="s">
        <v>171</v>
      </c>
      <c r="Q9" s="481" t="s">
        <v>354</v>
      </c>
    </row>
    <row r="10" spans="1:17" ht="60.75" customHeight="1" x14ac:dyDescent="0.25">
      <c r="A10" s="220"/>
      <c r="B10" s="222"/>
      <c r="C10" s="327" t="s">
        <v>172</v>
      </c>
      <c r="D10" s="209"/>
      <c r="E10" s="210" t="s">
        <v>173</v>
      </c>
      <c r="F10" s="211" t="s">
        <v>174</v>
      </c>
      <c r="G10" s="211" t="s">
        <v>175</v>
      </c>
      <c r="H10" s="212" t="s">
        <v>176</v>
      </c>
      <c r="I10" s="210" t="s">
        <v>173</v>
      </c>
      <c r="J10" s="211" t="s">
        <v>174</v>
      </c>
      <c r="K10" s="211" t="s">
        <v>175</v>
      </c>
      <c r="L10" s="212" t="s">
        <v>176</v>
      </c>
      <c r="M10" s="209" t="s">
        <v>177</v>
      </c>
      <c r="N10" s="209" t="s">
        <v>177</v>
      </c>
      <c r="O10" s="209" t="s">
        <v>177</v>
      </c>
      <c r="P10" s="209" t="s">
        <v>177</v>
      </c>
      <c r="Q10" s="482"/>
    </row>
    <row r="11" spans="1:17" ht="15.5" x14ac:dyDescent="0.25">
      <c r="A11" s="220"/>
      <c r="B11" s="223" t="s">
        <v>178</v>
      </c>
      <c r="C11" s="328"/>
      <c r="D11" s="201"/>
      <c r="E11" s="204"/>
      <c r="F11" s="199"/>
      <c r="G11" s="199"/>
      <c r="H11" s="205"/>
      <c r="I11" s="204"/>
      <c r="J11" s="199"/>
      <c r="K11" s="199"/>
      <c r="L11" s="205"/>
      <c r="M11" s="201"/>
      <c r="N11" s="201"/>
      <c r="O11" s="201"/>
      <c r="P11" s="201"/>
      <c r="Q11" s="224"/>
    </row>
    <row r="12" spans="1:17" ht="37.5" customHeight="1" x14ac:dyDescent="0.25">
      <c r="A12" s="192"/>
      <c r="B12" s="225"/>
      <c r="C12" s="244" t="s">
        <v>179</v>
      </c>
      <c r="D12" s="202"/>
      <c r="E12" s="215">
        <v>365664</v>
      </c>
      <c r="F12" s="216">
        <v>69654</v>
      </c>
      <c r="G12" s="216">
        <v>75514</v>
      </c>
      <c r="H12" s="217">
        <v>220496</v>
      </c>
      <c r="I12" s="215">
        <v>738642</v>
      </c>
      <c r="J12" s="216">
        <v>217726</v>
      </c>
      <c r="K12" s="216">
        <v>75514</v>
      </c>
      <c r="L12" s="217">
        <v>445402</v>
      </c>
      <c r="M12" s="218">
        <v>119079</v>
      </c>
      <c r="N12" s="218">
        <v>1507125</v>
      </c>
      <c r="O12" s="218">
        <v>1902932</v>
      </c>
      <c r="P12" s="218">
        <v>2306655</v>
      </c>
      <c r="Q12" s="226" t="s">
        <v>362</v>
      </c>
    </row>
    <row r="13" spans="1:17" ht="37.5" customHeight="1" x14ac:dyDescent="0.25">
      <c r="A13" s="192"/>
      <c r="B13" s="225"/>
      <c r="C13" s="244" t="s">
        <v>180</v>
      </c>
      <c r="D13" s="202"/>
      <c r="E13" s="215">
        <v>338225</v>
      </c>
      <c r="F13" s="216">
        <v>109319</v>
      </c>
      <c r="G13" s="216">
        <v>24657</v>
      </c>
      <c r="H13" s="217">
        <v>203950</v>
      </c>
      <c r="I13" s="215">
        <v>683214</v>
      </c>
      <c r="J13" s="216">
        <v>219724</v>
      </c>
      <c r="K13" s="216">
        <v>51212</v>
      </c>
      <c r="L13" s="217">
        <v>411979</v>
      </c>
      <c r="M13" s="218">
        <v>1035103</v>
      </c>
      <c r="N13" s="218">
        <v>1394030</v>
      </c>
      <c r="O13" s="218">
        <v>1760136</v>
      </c>
      <c r="P13" s="218">
        <v>2133564</v>
      </c>
      <c r="Q13" s="226" t="s">
        <v>362</v>
      </c>
    </row>
    <row r="14" spans="1:17" ht="37.5" customHeight="1" x14ac:dyDescent="0.25">
      <c r="A14" s="192"/>
      <c r="B14" s="225"/>
      <c r="C14" s="329" t="s">
        <v>181</v>
      </c>
      <c r="D14" s="202"/>
      <c r="E14" s="215">
        <v>226118</v>
      </c>
      <c r="F14" s="216">
        <v>29657</v>
      </c>
      <c r="G14" s="216">
        <v>60112</v>
      </c>
      <c r="H14" s="217">
        <v>136349</v>
      </c>
      <c r="I14" s="215">
        <v>456759</v>
      </c>
      <c r="J14" s="216">
        <v>84032</v>
      </c>
      <c r="K14" s="216">
        <v>97302</v>
      </c>
      <c r="L14" s="217">
        <v>275425</v>
      </c>
      <c r="M14" s="218">
        <v>692012</v>
      </c>
      <c r="N14" s="218">
        <v>931970</v>
      </c>
      <c r="O14" s="218">
        <v>1176728</v>
      </c>
      <c r="P14" s="218">
        <v>1426381</v>
      </c>
      <c r="Q14" s="226" t="s">
        <v>362</v>
      </c>
    </row>
    <row r="15" spans="1:17" ht="37.5" customHeight="1" x14ac:dyDescent="0.25">
      <c r="A15" s="192"/>
      <c r="B15" s="225"/>
      <c r="C15" s="244" t="s">
        <v>182</v>
      </c>
      <c r="D15" s="202"/>
      <c r="E15" s="215">
        <f>SUM(F15:H15)</f>
        <v>0</v>
      </c>
      <c r="F15" s="216">
        <f>0</f>
        <v>0</v>
      </c>
      <c r="G15" s="216">
        <f>0</f>
        <v>0</v>
      </c>
      <c r="H15" s="217">
        <f>0</f>
        <v>0</v>
      </c>
      <c r="I15" s="215">
        <f>SUM(J15:L15)</f>
        <v>0</v>
      </c>
      <c r="J15" s="216">
        <f>0</f>
        <v>0</v>
      </c>
      <c r="K15" s="216">
        <f>0</f>
        <v>0</v>
      </c>
      <c r="L15" s="217">
        <f>0</f>
        <v>0</v>
      </c>
      <c r="M15" s="218">
        <f>0</f>
        <v>0</v>
      </c>
      <c r="N15" s="218">
        <f>0</f>
        <v>0</v>
      </c>
      <c r="O15" s="218">
        <f>0</f>
        <v>0</v>
      </c>
      <c r="P15" s="218">
        <f>0</f>
        <v>0</v>
      </c>
      <c r="Q15" s="226" t="s">
        <v>363</v>
      </c>
    </row>
    <row r="16" spans="1:17" ht="37.5" customHeight="1" x14ac:dyDescent="0.25">
      <c r="A16" s="192"/>
      <c r="B16" s="225"/>
      <c r="C16" s="244" t="s">
        <v>183</v>
      </c>
      <c r="D16" s="202"/>
      <c r="E16" s="215">
        <f t="shared" ref="E16" si="0">SUM(F16:H16)</f>
        <v>0</v>
      </c>
      <c r="F16" s="216">
        <f>0</f>
        <v>0</v>
      </c>
      <c r="G16" s="216">
        <f>0</f>
        <v>0</v>
      </c>
      <c r="H16" s="217">
        <f>0</f>
        <v>0</v>
      </c>
      <c r="I16" s="215">
        <f t="shared" ref="I16" si="1">SUM(J16:L16)</f>
        <v>0</v>
      </c>
      <c r="J16" s="216">
        <f>0</f>
        <v>0</v>
      </c>
      <c r="K16" s="216">
        <f>0</f>
        <v>0</v>
      </c>
      <c r="L16" s="217">
        <f>0</f>
        <v>0</v>
      </c>
      <c r="M16" s="218">
        <f>0</f>
        <v>0</v>
      </c>
      <c r="N16" s="218">
        <f>0</f>
        <v>0</v>
      </c>
      <c r="O16" s="218">
        <f>0</f>
        <v>0</v>
      </c>
      <c r="P16" s="218">
        <f>0</f>
        <v>0</v>
      </c>
      <c r="Q16" s="226" t="s">
        <v>363</v>
      </c>
    </row>
    <row r="17" spans="1:17" ht="37.5" customHeight="1" x14ac:dyDescent="0.25">
      <c r="A17" s="192"/>
      <c r="B17" s="225"/>
      <c r="C17" s="244" t="s">
        <v>184</v>
      </c>
      <c r="D17" s="202"/>
      <c r="E17" s="215">
        <v>12593</v>
      </c>
      <c r="F17" s="216">
        <f>0</f>
        <v>0</v>
      </c>
      <c r="G17" s="216">
        <v>5000</v>
      </c>
      <c r="H17" s="217">
        <v>7593</v>
      </c>
      <c r="I17" s="215">
        <v>26437</v>
      </c>
      <c r="J17" s="216">
        <v>5099</v>
      </c>
      <c r="K17" s="216">
        <v>5000</v>
      </c>
      <c r="L17" s="217">
        <v>15338</v>
      </c>
      <c r="M17" s="218">
        <v>38538</v>
      </c>
      <c r="N17" s="218">
        <v>51901</v>
      </c>
      <c r="O17" s="218">
        <v>65532</v>
      </c>
      <c r="P17" s="218">
        <v>79445</v>
      </c>
      <c r="Q17" s="226" t="s">
        <v>362</v>
      </c>
    </row>
    <row r="18" spans="1:17" ht="18" x14ac:dyDescent="0.25">
      <c r="A18" s="192"/>
      <c r="B18" s="225"/>
      <c r="C18" s="244" t="s">
        <v>355</v>
      </c>
      <c r="D18" s="202"/>
      <c r="E18" s="215">
        <v>17879</v>
      </c>
      <c r="F18" s="216">
        <f>0</f>
        <v>0</v>
      </c>
      <c r="G18" s="216">
        <f>E18-H18</f>
        <v>7098</v>
      </c>
      <c r="H18" s="217">
        <v>10781</v>
      </c>
      <c r="I18" s="215">
        <v>35857</v>
      </c>
      <c r="J18" s="216">
        <f>0</f>
        <v>0</v>
      </c>
      <c r="K18" s="216">
        <v>14409</v>
      </c>
      <c r="L18" s="217">
        <v>21886</v>
      </c>
      <c r="M18" s="218">
        <v>55263</v>
      </c>
      <c r="N18" s="218">
        <v>74800</v>
      </c>
      <c r="O18" s="218">
        <v>94923</v>
      </c>
      <c r="P18" s="218">
        <v>115650</v>
      </c>
      <c r="Q18" s="226" t="s">
        <v>364</v>
      </c>
    </row>
    <row r="19" spans="1:17" ht="37.5" customHeight="1" x14ac:dyDescent="0.25">
      <c r="A19" s="192"/>
      <c r="B19" s="225"/>
      <c r="C19" s="244" t="s">
        <v>185</v>
      </c>
      <c r="D19" s="202"/>
      <c r="E19" s="215">
        <f t="shared" ref="E19" si="2">SUM(F19:H19)</f>
        <v>0</v>
      </c>
      <c r="F19" s="216">
        <f>0</f>
        <v>0</v>
      </c>
      <c r="G19" s="216">
        <f>0</f>
        <v>0</v>
      </c>
      <c r="H19" s="322"/>
      <c r="I19" s="215">
        <f t="shared" ref="I19" si="3">SUM(J19:L19)</f>
        <v>0</v>
      </c>
      <c r="J19" s="216">
        <f>0</f>
        <v>0</v>
      </c>
      <c r="K19" s="216">
        <f>0</f>
        <v>0</v>
      </c>
      <c r="L19" s="322"/>
      <c r="M19" s="218">
        <f>0</f>
        <v>0</v>
      </c>
      <c r="N19" s="218">
        <f>0</f>
        <v>0</v>
      </c>
      <c r="O19" s="218">
        <f>0</f>
        <v>0</v>
      </c>
      <c r="P19" s="218">
        <f>0</f>
        <v>0</v>
      </c>
      <c r="Q19" s="226"/>
    </row>
    <row r="20" spans="1:17" ht="37.5" customHeight="1" x14ac:dyDescent="0.25">
      <c r="A20" s="192"/>
      <c r="B20" s="225"/>
      <c r="C20" s="244" t="s">
        <v>185</v>
      </c>
      <c r="D20" s="202"/>
      <c r="E20" s="215">
        <f t="shared" ref="E20" si="4">SUM(F20:H20)</f>
        <v>0</v>
      </c>
      <c r="F20" s="216">
        <f>0</f>
        <v>0</v>
      </c>
      <c r="G20" s="216">
        <f>0</f>
        <v>0</v>
      </c>
      <c r="H20" s="322"/>
      <c r="I20" s="215">
        <f t="shared" ref="I20" si="5">SUM(J20:L20)</f>
        <v>0</v>
      </c>
      <c r="J20" s="216">
        <f>0</f>
        <v>0</v>
      </c>
      <c r="K20" s="216">
        <f>0</f>
        <v>0</v>
      </c>
      <c r="L20" s="322"/>
      <c r="M20" s="218">
        <f>0</f>
        <v>0</v>
      </c>
      <c r="N20" s="218">
        <v>0</v>
      </c>
      <c r="O20" s="218">
        <f>0</f>
        <v>0</v>
      </c>
      <c r="P20" s="218">
        <f>0</f>
        <v>0</v>
      </c>
      <c r="Q20" s="226"/>
    </row>
    <row r="21" spans="1:17" ht="20.149999999999999" customHeight="1" x14ac:dyDescent="0.25">
      <c r="A21" s="192"/>
      <c r="B21" s="223" t="s">
        <v>186</v>
      </c>
      <c r="C21" s="330"/>
      <c r="D21" s="203"/>
      <c r="E21" s="206"/>
      <c r="F21" s="200"/>
      <c r="G21" s="200"/>
      <c r="H21" s="207"/>
      <c r="I21" s="206"/>
      <c r="J21" s="200"/>
      <c r="K21" s="200"/>
      <c r="L21" s="207"/>
      <c r="M21" s="208"/>
      <c r="N21" s="208"/>
      <c r="O21" s="208"/>
      <c r="P21" s="208"/>
      <c r="Q21" s="224"/>
    </row>
    <row r="22" spans="1:17" ht="37.5" customHeight="1" x14ac:dyDescent="0.25">
      <c r="A22" s="192"/>
      <c r="B22" s="222"/>
      <c r="C22" s="244" t="s">
        <v>330</v>
      </c>
      <c r="D22" s="202"/>
      <c r="E22" s="215">
        <v>33855</v>
      </c>
      <c r="F22" s="216">
        <f>0</f>
        <v>0</v>
      </c>
      <c r="G22" s="216">
        <f>E22-H22</f>
        <v>13440</v>
      </c>
      <c r="H22" s="217">
        <v>20415</v>
      </c>
      <c r="I22" s="215">
        <v>85857</v>
      </c>
      <c r="J22" s="216">
        <v>20645</v>
      </c>
      <c r="K22" s="216">
        <v>13440</v>
      </c>
      <c r="L22" s="217">
        <v>51772</v>
      </c>
      <c r="M22" s="218">
        <v>134021</v>
      </c>
      <c r="N22" s="218">
        <v>208001</v>
      </c>
      <c r="O22" s="218">
        <v>321635</v>
      </c>
      <c r="P22" s="218">
        <v>496177</v>
      </c>
      <c r="Q22" s="226" t="s">
        <v>365</v>
      </c>
    </row>
    <row r="23" spans="1:17" ht="37.5" customHeight="1" x14ac:dyDescent="0.25">
      <c r="A23" s="192"/>
      <c r="B23" s="222"/>
      <c r="C23" s="244" t="s">
        <v>187</v>
      </c>
      <c r="D23" s="202"/>
      <c r="E23" s="216">
        <f>0</f>
        <v>0</v>
      </c>
      <c r="F23" s="216">
        <f>0</f>
        <v>0</v>
      </c>
      <c r="G23" s="216">
        <f>0</f>
        <v>0</v>
      </c>
      <c r="H23" s="322"/>
      <c r="I23" s="216">
        <f>0</f>
        <v>0</v>
      </c>
      <c r="J23" s="216">
        <f>0</f>
        <v>0</v>
      </c>
      <c r="K23" s="216">
        <f>0</f>
        <v>0</v>
      </c>
      <c r="L23" s="322"/>
      <c r="M23" s="218">
        <f>0</f>
        <v>0</v>
      </c>
      <c r="N23" s="218">
        <f>0</f>
        <v>0</v>
      </c>
      <c r="O23" s="218">
        <f>0</f>
        <v>0</v>
      </c>
      <c r="P23" s="218">
        <f>0</f>
        <v>0</v>
      </c>
      <c r="Q23" s="226"/>
    </row>
    <row r="24" spans="1:17" ht="37.5" customHeight="1" x14ac:dyDescent="0.25">
      <c r="A24" s="192"/>
      <c r="B24" s="222"/>
      <c r="C24" s="244" t="s">
        <v>188</v>
      </c>
      <c r="D24" s="202"/>
      <c r="E24" s="215">
        <v>181214.17</v>
      </c>
      <c r="F24" s="216">
        <v>181214</v>
      </c>
      <c r="G24" s="216">
        <v>0</v>
      </c>
      <c r="H24" s="322"/>
      <c r="I24" s="215">
        <v>380550</v>
      </c>
      <c r="J24" s="216">
        <v>380550</v>
      </c>
      <c r="K24" s="216">
        <v>0</v>
      </c>
      <c r="L24" s="322"/>
      <c r="M24" s="218">
        <v>599819</v>
      </c>
      <c r="N24" s="218">
        <v>841015</v>
      </c>
      <c r="O24" s="218">
        <v>1106331</v>
      </c>
      <c r="P24" s="218">
        <v>1398178</v>
      </c>
      <c r="Q24" s="226" t="s">
        <v>366</v>
      </c>
    </row>
    <row r="25" spans="1:17" ht="37.5" customHeight="1" x14ac:dyDescent="0.25">
      <c r="A25" s="192"/>
      <c r="B25" s="222"/>
      <c r="C25" s="244" t="s">
        <v>185</v>
      </c>
      <c r="D25" s="202"/>
      <c r="E25" s="215">
        <f t="shared" ref="E25" si="6">SUM(F25:H25)</f>
        <v>0</v>
      </c>
      <c r="F25" s="216">
        <f>0</f>
        <v>0</v>
      </c>
      <c r="G25" s="216">
        <f>0</f>
        <v>0</v>
      </c>
      <c r="H25" s="322"/>
      <c r="I25" s="215">
        <f t="shared" ref="I25" si="7">SUM(J25:L25)</f>
        <v>0</v>
      </c>
      <c r="J25" s="216">
        <f>0</f>
        <v>0</v>
      </c>
      <c r="K25" s="216">
        <f>0</f>
        <v>0</v>
      </c>
      <c r="L25" s="322"/>
      <c r="M25" s="218">
        <f>0</f>
        <v>0</v>
      </c>
      <c r="N25" s="218">
        <f>0</f>
        <v>0</v>
      </c>
      <c r="O25" s="218">
        <f>0</f>
        <v>0</v>
      </c>
      <c r="P25" s="218">
        <f>0</f>
        <v>0</v>
      </c>
      <c r="Q25" s="226"/>
    </row>
    <row r="26" spans="1:17" ht="37.5" customHeight="1" x14ac:dyDescent="0.25">
      <c r="A26" s="192"/>
      <c r="B26" s="222"/>
      <c r="C26" s="244" t="s">
        <v>185</v>
      </c>
      <c r="D26" s="202"/>
      <c r="E26" s="215">
        <f t="shared" ref="E26" si="8">SUM(F26:H26)</f>
        <v>0</v>
      </c>
      <c r="F26" s="216">
        <f>0</f>
        <v>0</v>
      </c>
      <c r="G26" s="216">
        <f>0</f>
        <v>0</v>
      </c>
      <c r="H26" s="322"/>
      <c r="I26" s="215">
        <f t="shared" ref="I26" si="9">SUM(J26:L26)</f>
        <v>0</v>
      </c>
      <c r="J26" s="216">
        <f>0</f>
        <v>0</v>
      </c>
      <c r="K26" s="216">
        <f>0</f>
        <v>0</v>
      </c>
      <c r="L26" s="322"/>
      <c r="M26" s="218">
        <f>0</f>
        <v>0</v>
      </c>
      <c r="N26" s="218">
        <f>0</f>
        <v>0</v>
      </c>
      <c r="O26" s="218">
        <f>0</f>
        <v>0</v>
      </c>
      <c r="P26" s="218">
        <f>0</f>
        <v>0</v>
      </c>
      <c r="Q26" s="226"/>
    </row>
    <row r="27" spans="1:17" ht="20.149999999999999" customHeight="1" x14ac:dyDescent="0.25">
      <c r="A27" s="192"/>
      <c r="B27" s="223" t="s">
        <v>189</v>
      </c>
      <c r="C27" s="330"/>
      <c r="D27" s="203"/>
      <c r="E27" s="206"/>
      <c r="F27" s="200"/>
      <c r="G27" s="200"/>
      <c r="H27" s="207"/>
      <c r="I27" s="206"/>
      <c r="J27" s="200"/>
      <c r="K27" s="200"/>
      <c r="L27" s="207"/>
      <c r="M27" s="208"/>
      <c r="N27" s="208"/>
      <c r="O27" s="208"/>
      <c r="P27" s="208"/>
      <c r="Q27" s="224"/>
    </row>
    <row r="28" spans="1:17" ht="37.5" customHeight="1" x14ac:dyDescent="0.25">
      <c r="A28" s="192"/>
      <c r="B28" s="222"/>
      <c r="C28" s="329" t="s">
        <v>190</v>
      </c>
      <c r="D28" s="202"/>
      <c r="E28" s="215">
        <f t="shared" ref="E28:E29" si="10">SUM(F28:H28)</f>
        <v>0</v>
      </c>
      <c r="F28" s="216">
        <f>0</f>
        <v>0</v>
      </c>
      <c r="G28" s="216">
        <f>0</f>
        <v>0</v>
      </c>
      <c r="H28" s="322"/>
      <c r="I28" s="215">
        <f t="shared" ref="I28:I29" si="11">SUM(J28:L28)</f>
        <v>0</v>
      </c>
      <c r="J28" s="216">
        <f>0</f>
        <v>0</v>
      </c>
      <c r="K28" s="216">
        <f>0</f>
        <v>0</v>
      </c>
      <c r="L28" s="322"/>
      <c r="M28" s="218">
        <f>0</f>
        <v>0</v>
      </c>
      <c r="N28" s="218">
        <f>0</f>
        <v>0</v>
      </c>
      <c r="O28" s="218">
        <f>0</f>
        <v>0</v>
      </c>
      <c r="P28" s="218">
        <f>0</f>
        <v>0</v>
      </c>
      <c r="Q28" s="226"/>
    </row>
    <row r="29" spans="1:17" ht="37.5" customHeight="1" x14ac:dyDescent="0.25">
      <c r="A29" s="192"/>
      <c r="B29" s="222"/>
      <c r="C29" s="329" t="s">
        <v>191</v>
      </c>
      <c r="D29" s="202"/>
      <c r="E29" s="215">
        <f t="shared" si="10"/>
        <v>0</v>
      </c>
      <c r="F29" s="216">
        <f>0</f>
        <v>0</v>
      </c>
      <c r="G29" s="216">
        <f>0</f>
        <v>0</v>
      </c>
      <c r="H29" s="322"/>
      <c r="I29" s="215">
        <f t="shared" si="11"/>
        <v>0</v>
      </c>
      <c r="J29" s="216">
        <f>0</f>
        <v>0</v>
      </c>
      <c r="K29" s="216">
        <f>0</f>
        <v>0</v>
      </c>
      <c r="L29" s="322"/>
      <c r="M29" s="218">
        <f>0</f>
        <v>0</v>
      </c>
      <c r="N29" s="218">
        <f>0</f>
        <v>0</v>
      </c>
      <c r="O29" s="218">
        <f>0</f>
        <v>0</v>
      </c>
      <c r="P29" s="218">
        <f>0</f>
        <v>0</v>
      </c>
      <c r="Q29" s="226"/>
    </row>
    <row r="30" spans="1:17" ht="37.5" customHeight="1" x14ac:dyDescent="0.25">
      <c r="A30" s="192"/>
      <c r="B30" s="225"/>
      <c r="C30" s="244" t="s">
        <v>185</v>
      </c>
      <c r="D30" s="202"/>
      <c r="E30" s="215">
        <f>SUM(F30:H30)</f>
        <v>0</v>
      </c>
      <c r="F30" s="216">
        <f>0</f>
        <v>0</v>
      </c>
      <c r="G30" s="216">
        <f>0</f>
        <v>0</v>
      </c>
      <c r="H30" s="322"/>
      <c r="I30" s="215">
        <f>SUM(J30:L30)</f>
        <v>0</v>
      </c>
      <c r="J30" s="216">
        <f>0</f>
        <v>0</v>
      </c>
      <c r="K30" s="216">
        <f>0</f>
        <v>0</v>
      </c>
      <c r="L30" s="322"/>
      <c r="M30" s="218">
        <f>0</f>
        <v>0</v>
      </c>
      <c r="N30" s="218">
        <f>0</f>
        <v>0</v>
      </c>
      <c r="O30" s="218">
        <f>0</f>
        <v>0</v>
      </c>
      <c r="P30" s="218">
        <f>0</f>
        <v>0</v>
      </c>
      <c r="Q30" s="226"/>
    </row>
    <row r="31" spans="1:17" ht="37.5" customHeight="1" x14ac:dyDescent="0.25">
      <c r="A31" s="192"/>
      <c r="B31" s="225"/>
      <c r="C31" s="244" t="s">
        <v>185</v>
      </c>
      <c r="D31" s="202"/>
      <c r="E31" s="215">
        <f>SUM(F31:H31)</f>
        <v>0</v>
      </c>
      <c r="F31" s="216">
        <f>0</f>
        <v>0</v>
      </c>
      <c r="G31" s="216">
        <f>0</f>
        <v>0</v>
      </c>
      <c r="H31" s="322"/>
      <c r="I31" s="215">
        <f>SUM(J31:L31)</f>
        <v>0</v>
      </c>
      <c r="J31" s="216">
        <f>0</f>
        <v>0</v>
      </c>
      <c r="K31" s="216">
        <f>0</f>
        <v>0</v>
      </c>
      <c r="L31" s="322"/>
      <c r="M31" s="218">
        <f>0</f>
        <v>0</v>
      </c>
      <c r="N31" s="218">
        <f>0</f>
        <v>0</v>
      </c>
      <c r="O31" s="218">
        <f>0</f>
        <v>0</v>
      </c>
      <c r="P31" s="218">
        <f>0</f>
        <v>0</v>
      </c>
      <c r="Q31" s="226"/>
    </row>
    <row r="32" spans="1:17" ht="20.149999999999999" customHeight="1" x14ac:dyDescent="0.25">
      <c r="A32" s="192"/>
      <c r="B32" s="223" t="s">
        <v>192</v>
      </c>
      <c r="C32" s="330"/>
      <c r="D32" s="203"/>
      <c r="E32" s="206"/>
      <c r="F32" s="200"/>
      <c r="G32" s="200"/>
      <c r="H32" s="207"/>
      <c r="I32" s="206"/>
      <c r="J32" s="200"/>
      <c r="K32" s="200"/>
      <c r="L32" s="207"/>
      <c r="M32" s="208"/>
      <c r="N32" s="208"/>
      <c r="O32" s="208"/>
      <c r="P32" s="208"/>
      <c r="Q32" s="224"/>
    </row>
    <row r="33" spans="1:17" ht="37.5" customHeight="1" x14ac:dyDescent="0.25">
      <c r="A33" s="192"/>
      <c r="B33" s="213"/>
      <c r="C33" s="394" t="s">
        <v>367</v>
      </c>
      <c r="D33" s="202"/>
      <c r="E33" s="215">
        <v>0</v>
      </c>
      <c r="F33" s="216">
        <v>0</v>
      </c>
      <c r="G33" s="216">
        <f>0</f>
        <v>0</v>
      </c>
      <c r="H33" s="322"/>
      <c r="I33" s="215">
        <v>0</v>
      </c>
      <c r="J33" s="216">
        <v>0</v>
      </c>
      <c r="K33" s="216">
        <f>0</f>
        <v>0</v>
      </c>
      <c r="L33" s="322"/>
      <c r="M33" s="215">
        <v>0</v>
      </c>
      <c r="N33" s="215">
        <v>630000</v>
      </c>
      <c r="O33" s="215">
        <v>1260000</v>
      </c>
      <c r="P33" s="215">
        <v>1260000</v>
      </c>
      <c r="Q33" s="395" t="s">
        <v>368</v>
      </c>
    </row>
    <row r="34" spans="1:17" ht="37.5" customHeight="1" x14ac:dyDescent="0.25">
      <c r="A34" s="192"/>
      <c r="B34" s="213"/>
      <c r="C34" s="394" t="s">
        <v>369</v>
      </c>
      <c r="D34" s="202"/>
      <c r="E34" s="215">
        <v>100000</v>
      </c>
      <c r="F34" s="216">
        <v>100000</v>
      </c>
      <c r="G34" s="216">
        <f>0</f>
        <v>0</v>
      </c>
      <c r="H34" s="322"/>
      <c r="I34" s="215">
        <v>200000</v>
      </c>
      <c r="J34" s="216">
        <v>200000</v>
      </c>
      <c r="K34" s="216">
        <f>0</f>
        <v>0</v>
      </c>
      <c r="L34" s="322"/>
      <c r="M34" s="218">
        <v>300000</v>
      </c>
      <c r="N34" s="218">
        <v>400000</v>
      </c>
      <c r="O34" s="218">
        <v>500000</v>
      </c>
      <c r="P34" s="218">
        <v>600000</v>
      </c>
      <c r="Q34" s="395" t="s">
        <v>370</v>
      </c>
    </row>
    <row r="35" spans="1:17" ht="37.5" customHeight="1" x14ac:dyDescent="0.25">
      <c r="A35" s="192"/>
      <c r="B35" s="213"/>
      <c r="C35" s="394" t="s">
        <v>371</v>
      </c>
      <c r="D35" s="202"/>
      <c r="E35" s="396">
        <v>13500</v>
      </c>
      <c r="F35" s="216">
        <v>13500</v>
      </c>
      <c r="G35" s="216">
        <f>0</f>
        <v>0</v>
      </c>
      <c r="H35" s="322"/>
      <c r="I35" s="215">
        <v>27000</v>
      </c>
      <c r="J35" s="216">
        <v>27000</v>
      </c>
      <c r="K35" s="216">
        <f>0</f>
        <v>0</v>
      </c>
      <c r="L35" s="322"/>
      <c r="M35" s="218">
        <v>27000</v>
      </c>
      <c r="N35" s="218">
        <v>27000</v>
      </c>
      <c r="O35" s="218">
        <v>27000</v>
      </c>
      <c r="P35" s="218">
        <v>27000</v>
      </c>
      <c r="Q35" s="395" t="s">
        <v>372</v>
      </c>
    </row>
    <row r="36" spans="1:17" ht="37.5" customHeight="1" x14ac:dyDescent="0.25">
      <c r="A36" s="192"/>
      <c r="B36" s="213"/>
      <c r="C36" s="394" t="s">
        <v>373</v>
      </c>
      <c r="D36" s="202"/>
      <c r="E36" s="396">
        <v>3000</v>
      </c>
      <c r="F36" s="216">
        <v>3000</v>
      </c>
      <c r="G36" s="216">
        <f>0</f>
        <v>0</v>
      </c>
      <c r="H36" s="322"/>
      <c r="I36" s="215">
        <v>3000</v>
      </c>
      <c r="J36" s="216">
        <v>3000</v>
      </c>
      <c r="K36" s="216">
        <f>0</f>
        <v>0</v>
      </c>
      <c r="L36" s="322"/>
      <c r="M36" s="218">
        <v>3000</v>
      </c>
      <c r="N36" s="218">
        <v>3000</v>
      </c>
      <c r="O36" s="218">
        <v>3000</v>
      </c>
      <c r="P36" s="218">
        <v>3000</v>
      </c>
      <c r="Q36" s="226" t="s">
        <v>374</v>
      </c>
    </row>
    <row r="37" spans="1:17" ht="37.5" customHeight="1" x14ac:dyDescent="0.25">
      <c r="A37" s="192"/>
      <c r="B37" s="213"/>
      <c r="C37" s="394" t="s">
        <v>375</v>
      </c>
      <c r="D37" s="202"/>
      <c r="E37" s="396">
        <v>220000</v>
      </c>
      <c r="F37" s="216">
        <v>220000</v>
      </c>
      <c r="G37" s="216">
        <f>0</f>
        <v>0</v>
      </c>
      <c r="H37" s="322"/>
      <c r="I37" s="215">
        <v>440000</v>
      </c>
      <c r="J37" s="216">
        <v>440000</v>
      </c>
      <c r="K37" s="216">
        <f>0</f>
        <v>0</v>
      </c>
      <c r="L37" s="322"/>
      <c r="M37" s="218">
        <v>660000</v>
      </c>
      <c r="N37" s="218">
        <v>880000</v>
      </c>
      <c r="O37" s="218">
        <v>1100000</v>
      </c>
      <c r="P37" s="218">
        <v>1320000</v>
      </c>
      <c r="Q37" s="397" t="s">
        <v>376</v>
      </c>
    </row>
    <row r="38" spans="1:17" ht="20.149999999999999" customHeight="1" x14ac:dyDescent="0.25">
      <c r="A38" s="192"/>
      <c r="B38" s="223" t="s">
        <v>193</v>
      </c>
      <c r="C38" s="330"/>
      <c r="D38" s="203"/>
      <c r="E38" s="206"/>
      <c r="F38" s="200"/>
      <c r="G38" s="200"/>
      <c r="H38" s="207"/>
      <c r="I38" s="206"/>
      <c r="J38" s="200"/>
      <c r="K38" s="200"/>
      <c r="L38" s="207"/>
      <c r="M38" s="208"/>
      <c r="N38" s="208"/>
      <c r="O38" s="208"/>
      <c r="P38" s="208"/>
      <c r="Q38" s="224"/>
    </row>
    <row r="39" spans="1:17" ht="37.5" customHeight="1" x14ac:dyDescent="0.25">
      <c r="A39" s="192"/>
      <c r="B39" s="225"/>
      <c r="C39" s="394" t="s">
        <v>377</v>
      </c>
      <c r="D39" s="202"/>
      <c r="E39" s="215">
        <v>114000</v>
      </c>
      <c r="F39" s="216">
        <v>114000</v>
      </c>
      <c r="G39" s="216">
        <v>0</v>
      </c>
      <c r="H39" s="322"/>
      <c r="I39" s="215">
        <v>228000</v>
      </c>
      <c r="J39" s="216">
        <v>228000</v>
      </c>
      <c r="K39" s="216">
        <f>0</f>
        <v>0</v>
      </c>
      <c r="L39" s="322"/>
      <c r="M39" s="215">
        <v>342000</v>
      </c>
      <c r="N39" s="215">
        <v>456000</v>
      </c>
      <c r="O39" s="215">
        <v>570000</v>
      </c>
      <c r="P39" s="215">
        <v>684000</v>
      </c>
      <c r="Q39" s="397" t="s">
        <v>378</v>
      </c>
    </row>
    <row r="40" spans="1:17" ht="37.5" customHeight="1" x14ac:dyDescent="0.25">
      <c r="A40" s="192"/>
      <c r="B40" s="225"/>
      <c r="C40" s="394" t="s">
        <v>379</v>
      </c>
      <c r="D40" s="202"/>
      <c r="E40" s="215">
        <v>80054</v>
      </c>
      <c r="F40" s="216">
        <v>80054</v>
      </c>
      <c r="G40" s="216">
        <f>0</f>
        <v>0</v>
      </c>
      <c r="H40" s="322"/>
      <c r="I40" s="215">
        <v>210627</v>
      </c>
      <c r="J40" s="216">
        <v>210627</v>
      </c>
      <c r="K40" s="216">
        <f>0</f>
        <v>0</v>
      </c>
      <c r="L40" s="322"/>
      <c r="M40" s="218">
        <v>210627</v>
      </c>
      <c r="N40" s="218">
        <v>210627</v>
      </c>
      <c r="O40" s="218">
        <v>210627</v>
      </c>
      <c r="P40" s="218">
        <v>210627</v>
      </c>
      <c r="Q40" s="397" t="s">
        <v>380</v>
      </c>
    </row>
    <row r="41" spans="1:17" ht="37.5" customHeight="1" x14ac:dyDescent="0.25">
      <c r="A41" s="192"/>
      <c r="B41" s="225"/>
      <c r="C41" s="394" t="s">
        <v>381</v>
      </c>
      <c r="D41" s="202"/>
      <c r="E41" s="215">
        <v>4800</v>
      </c>
      <c r="F41" s="216">
        <v>4800</v>
      </c>
      <c r="G41" s="216">
        <f>0</f>
        <v>0</v>
      </c>
      <c r="H41" s="322"/>
      <c r="I41" s="215">
        <v>14800</v>
      </c>
      <c r="J41" s="216">
        <v>14800</v>
      </c>
      <c r="K41" s="216">
        <f>0</f>
        <v>0</v>
      </c>
      <c r="L41" s="322"/>
      <c r="M41" s="218">
        <v>24800</v>
      </c>
      <c r="N41" s="218">
        <v>34800</v>
      </c>
      <c r="O41" s="218">
        <v>44800</v>
      </c>
      <c r="P41" s="218">
        <v>54800</v>
      </c>
      <c r="Q41" s="226" t="s">
        <v>382</v>
      </c>
    </row>
    <row r="42" spans="1:17" ht="37.5" customHeight="1" x14ac:dyDescent="0.25">
      <c r="A42" s="192"/>
      <c r="B42" s="225"/>
      <c r="C42" s="394" t="s">
        <v>383</v>
      </c>
      <c r="D42" s="202"/>
      <c r="E42" s="215">
        <f t="shared" ref="E42" si="12">SUM(F42:H42)</f>
        <v>0</v>
      </c>
      <c r="F42" s="216">
        <f>0</f>
        <v>0</v>
      </c>
      <c r="G42" s="216">
        <f>0</f>
        <v>0</v>
      </c>
      <c r="H42" s="322"/>
      <c r="I42" s="396">
        <v>80000</v>
      </c>
      <c r="J42" s="216">
        <v>80000</v>
      </c>
      <c r="K42" s="216">
        <f>0</f>
        <v>0</v>
      </c>
      <c r="L42" s="322"/>
      <c r="M42" s="398">
        <v>177500</v>
      </c>
      <c r="N42" s="218">
        <v>275000</v>
      </c>
      <c r="O42" s="218">
        <v>372500</v>
      </c>
      <c r="P42" s="218">
        <v>470000</v>
      </c>
      <c r="Q42" s="226" t="s">
        <v>384</v>
      </c>
    </row>
    <row r="43" spans="1:17" ht="37.5" customHeight="1" x14ac:dyDescent="0.25">
      <c r="A43" s="192"/>
      <c r="B43" s="225"/>
      <c r="C43" s="394" t="s">
        <v>385</v>
      </c>
      <c r="D43" s="202"/>
      <c r="E43" s="215">
        <v>5000</v>
      </c>
      <c r="F43" s="216">
        <v>5000</v>
      </c>
      <c r="G43" s="216">
        <f>0</f>
        <v>0</v>
      </c>
      <c r="H43" s="322"/>
      <c r="I43" s="396">
        <v>10000</v>
      </c>
      <c r="J43" s="216">
        <v>10000</v>
      </c>
      <c r="K43" s="216">
        <f>0</f>
        <v>0</v>
      </c>
      <c r="L43" s="322"/>
      <c r="M43" s="398">
        <v>15000</v>
      </c>
      <c r="N43" s="218">
        <v>20000</v>
      </c>
      <c r="O43" s="218">
        <v>25000</v>
      </c>
      <c r="P43" s="218">
        <v>30000</v>
      </c>
      <c r="Q43" s="397" t="s">
        <v>386</v>
      </c>
    </row>
    <row r="44" spans="1:17" ht="20.149999999999999" customHeight="1" x14ac:dyDescent="0.25">
      <c r="A44" s="192"/>
      <c r="B44" s="223" t="s">
        <v>194</v>
      </c>
      <c r="C44" s="330"/>
      <c r="D44" s="203"/>
      <c r="E44" s="206"/>
      <c r="F44" s="200"/>
      <c r="G44" s="200"/>
      <c r="H44" s="207"/>
      <c r="I44" s="206"/>
      <c r="J44" s="200"/>
      <c r="K44" s="200"/>
      <c r="L44" s="207"/>
      <c r="M44" s="208"/>
      <c r="N44" s="208"/>
      <c r="O44" s="208"/>
      <c r="P44" s="208"/>
      <c r="Q44" s="224"/>
    </row>
    <row r="45" spans="1:17" ht="37.5" customHeight="1" x14ac:dyDescent="0.25">
      <c r="A45" s="192"/>
      <c r="B45" s="225"/>
      <c r="C45" s="244" t="s">
        <v>387</v>
      </c>
      <c r="D45" s="202"/>
      <c r="E45" s="215">
        <v>50000</v>
      </c>
      <c r="F45" s="216">
        <v>50000</v>
      </c>
      <c r="G45" s="216">
        <f>0</f>
        <v>0</v>
      </c>
      <c r="H45" s="322"/>
      <c r="I45" s="215">
        <v>100000</v>
      </c>
      <c r="J45" s="216">
        <v>100000</v>
      </c>
      <c r="K45" s="216">
        <f>0</f>
        <v>0</v>
      </c>
      <c r="L45" s="322"/>
      <c r="M45" s="215">
        <v>150000</v>
      </c>
      <c r="N45" s="215">
        <v>20000</v>
      </c>
      <c r="O45" s="215">
        <v>250000</v>
      </c>
      <c r="P45" s="215">
        <v>300000</v>
      </c>
      <c r="Q45" s="226" t="s">
        <v>388</v>
      </c>
    </row>
    <row r="46" spans="1:17" ht="37.5" customHeight="1" x14ac:dyDescent="0.25">
      <c r="A46" s="192"/>
      <c r="B46" s="225"/>
      <c r="C46" s="244" t="s">
        <v>185</v>
      </c>
      <c r="D46" s="202"/>
      <c r="E46" s="215">
        <f t="shared" ref="E46" si="13">SUM(F46:H46)</f>
        <v>0</v>
      </c>
      <c r="F46" s="216">
        <f>0</f>
        <v>0</v>
      </c>
      <c r="G46" s="216">
        <f>0</f>
        <v>0</v>
      </c>
      <c r="H46" s="322"/>
      <c r="I46" s="215">
        <f t="shared" ref="I46" si="14">SUM(J46:L46)</f>
        <v>0</v>
      </c>
      <c r="J46" s="216">
        <f>0</f>
        <v>0</v>
      </c>
      <c r="K46" s="216">
        <f>0</f>
        <v>0</v>
      </c>
      <c r="L46" s="322"/>
      <c r="M46" s="218">
        <f>0</f>
        <v>0</v>
      </c>
      <c r="N46" s="218">
        <f>0</f>
        <v>0</v>
      </c>
      <c r="O46" s="218">
        <f>0</f>
        <v>0</v>
      </c>
      <c r="P46" s="218">
        <f>0</f>
        <v>0</v>
      </c>
      <c r="Q46" s="226"/>
    </row>
    <row r="47" spans="1:17" ht="37.5" customHeight="1" x14ac:dyDescent="0.25">
      <c r="A47" s="192"/>
      <c r="B47" s="225"/>
      <c r="C47" s="244" t="s">
        <v>185</v>
      </c>
      <c r="D47" s="202"/>
      <c r="E47" s="215">
        <f t="shared" ref="E47" si="15">SUM(F47:H47)</f>
        <v>0</v>
      </c>
      <c r="F47" s="216">
        <f>0</f>
        <v>0</v>
      </c>
      <c r="G47" s="216">
        <f>0</f>
        <v>0</v>
      </c>
      <c r="H47" s="322"/>
      <c r="I47" s="215">
        <f t="shared" ref="I47" si="16">SUM(J47:L47)</f>
        <v>0</v>
      </c>
      <c r="J47" s="216">
        <f>0</f>
        <v>0</v>
      </c>
      <c r="K47" s="216">
        <f>0</f>
        <v>0</v>
      </c>
      <c r="L47" s="322"/>
      <c r="M47" s="218">
        <f>0</f>
        <v>0</v>
      </c>
      <c r="N47" s="218">
        <f>0</f>
        <v>0</v>
      </c>
      <c r="O47" s="218">
        <f>0</f>
        <v>0</v>
      </c>
      <c r="P47" s="218">
        <f>0</f>
        <v>0</v>
      </c>
      <c r="Q47" s="226"/>
    </row>
    <row r="48" spans="1:17" ht="37.5" customHeight="1" x14ac:dyDescent="0.25">
      <c r="A48" s="192"/>
      <c r="B48" s="225"/>
      <c r="C48" s="244" t="s">
        <v>185</v>
      </c>
      <c r="D48" s="202"/>
      <c r="E48" s="215">
        <f t="shared" ref="E48" si="17">SUM(F48:H48)</f>
        <v>0</v>
      </c>
      <c r="F48" s="216">
        <f>0</f>
        <v>0</v>
      </c>
      <c r="G48" s="216">
        <f>0</f>
        <v>0</v>
      </c>
      <c r="H48" s="322"/>
      <c r="I48" s="215">
        <f t="shared" ref="I48" si="18">SUM(J48:L48)</f>
        <v>0</v>
      </c>
      <c r="J48" s="216">
        <f>0</f>
        <v>0</v>
      </c>
      <c r="K48" s="216">
        <f>0</f>
        <v>0</v>
      </c>
      <c r="L48" s="322"/>
      <c r="M48" s="218">
        <f>0</f>
        <v>0</v>
      </c>
      <c r="N48" s="218">
        <f>0</f>
        <v>0</v>
      </c>
      <c r="O48" s="218">
        <f>0</f>
        <v>0</v>
      </c>
      <c r="P48" s="218">
        <f>0</f>
        <v>0</v>
      </c>
      <c r="Q48" s="226"/>
    </row>
    <row r="49" spans="1:17" ht="37.5" customHeight="1" thickBot="1" x14ac:dyDescent="0.3">
      <c r="A49" s="192"/>
      <c r="B49" s="225"/>
      <c r="C49" s="244" t="s">
        <v>185</v>
      </c>
      <c r="D49" s="202"/>
      <c r="E49" s="215">
        <f t="shared" ref="E49" si="19">SUM(F49:H49)</f>
        <v>0</v>
      </c>
      <c r="F49" s="216">
        <f>0</f>
        <v>0</v>
      </c>
      <c r="G49" s="216">
        <f>0</f>
        <v>0</v>
      </c>
      <c r="H49" s="322"/>
      <c r="I49" s="215">
        <f t="shared" ref="I49" si="20">SUM(J49:L49)</f>
        <v>0</v>
      </c>
      <c r="J49" s="216">
        <f>0</f>
        <v>0</v>
      </c>
      <c r="K49" s="216">
        <f>0</f>
        <v>0</v>
      </c>
      <c r="L49" s="322"/>
      <c r="M49" s="218">
        <f>0</f>
        <v>0</v>
      </c>
      <c r="N49" s="218">
        <f>0</f>
        <v>0</v>
      </c>
      <c r="O49" s="218">
        <f>0</f>
        <v>0</v>
      </c>
      <c r="P49" s="218">
        <f>0</f>
        <v>0</v>
      </c>
      <c r="Q49" s="226"/>
    </row>
    <row r="50" spans="1:17" ht="15.5" x14ac:dyDescent="0.25">
      <c r="B50" s="214" t="s">
        <v>195</v>
      </c>
      <c r="C50" s="331"/>
      <c r="D50" s="227"/>
      <c r="E50" s="228">
        <f>SUM(E12:E49)</f>
        <v>1765902.17</v>
      </c>
      <c r="F50" s="229">
        <f>SUM(F12:F49)</f>
        <v>980198</v>
      </c>
      <c r="G50" s="229">
        <f t="shared" ref="G50" si="21">SUM(G12:G49)</f>
        <v>185821</v>
      </c>
      <c r="H50" s="230">
        <f t="shared" ref="H50:P50" si="22">SUM(H12:H49)</f>
        <v>599584</v>
      </c>
      <c r="I50" s="228">
        <f t="shared" si="22"/>
        <v>3720743</v>
      </c>
      <c r="J50" s="229">
        <f t="shared" si="22"/>
        <v>2241203</v>
      </c>
      <c r="K50" s="229">
        <f t="shared" si="22"/>
        <v>256877</v>
      </c>
      <c r="L50" s="230">
        <f t="shared" si="22"/>
        <v>1221802</v>
      </c>
      <c r="M50" s="231">
        <f t="shared" si="22"/>
        <v>4583762</v>
      </c>
      <c r="N50" s="231">
        <f t="shared" si="22"/>
        <v>7965269</v>
      </c>
      <c r="O50" s="231">
        <f t="shared" si="22"/>
        <v>10791144</v>
      </c>
      <c r="P50" s="231">
        <f t="shared" si="22"/>
        <v>12915477</v>
      </c>
      <c r="Q50" s="232"/>
    </row>
    <row r="51" spans="1:17" ht="15.5" x14ac:dyDescent="0.25">
      <c r="B51" s="187"/>
      <c r="C51" s="332"/>
      <c r="D51" s="233"/>
      <c r="E51" s="233"/>
      <c r="F51" s="233"/>
      <c r="G51" s="233"/>
    </row>
    <row r="52" spans="1:17" ht="15.5" x14ac:dyDescent="0.25">
      <c r="B52" s="233"/>
      <c r="C52" s="332"/>
      <c r="D52" s="233"/>
      <c r="E52" s="233"/>
      <c r="F52" s="233"/>
      <c r="G52" s="233"/>
      <c r="H52" s="233"/>
      <c r="I52" s="234"/>
      <c r="J52" s="235"/>
      <c r="K52" s="235"/>
      <c r="L52" s="194"/>
      <c r="M52" s="235"/>
      <c r="N52" s="235"/>
      <c r="O52" s="235"/>
    </row>
    <row r="53" spans="1:17" ht="66" customHeight="1" x14ac:dyDescent="0.25">
      <c r="B53" s="233"/>
      <c r="I53" s="470" t="s">
        <v>196</v>
      </c>
      <c r="J53" s="471"/>
      <c r="K53" s="320"/>
    </row>
    <row r="54" spans="1:17" ht="15.5" x14ac:dyDescent="0.25">
      <c r="I54" s="185" t="s">
        <v>166</v>
      </c>
      <c r="J54" s="186" t="s">
        <v>167</v>
      </c>
      <c r="K54" s="194"/>
    </row>
    <row r="55" spans="1:17" ht="15.5" x14ac:dyDescent="0.25">
      <c r="I55" s="236">
        <f>G50-('2-Revenue'!E24-'2-Revenue'!C24)</f>
        <v>-0.3333333283662796</v>
      </c>
      <c r="J55" s="237">
        <f>K50-('2-Revenue'!G24-'2-Revenue'!C24)</f>
        <v>185820.66666667163</v>
      </c>
      <c r="K55" s="321"/>
    </row>
    <row r="56" spans="1:17" ht="69.75" customHeight="1" x14ac:dyDescent="0.25">
      <c r="G56" s="319"/>
      <c r="H56" s="318" t="s">
        <v>197</v>
      </c>
      <c r="I56" s="238"/>
      <c r="J56" s="402" t="s">
        <v>401</v>
      </c>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ColWidth="8.7265625" defaultRowHeight="15.5" x14ac:dyDescent="0.35"/>
  <cols>
    <col min="1" max="1" width="34.54296875" style="383" customWidth="1"/>
    <col min="2" max="16384" width="8.7265625" style="383"/>
  </cols>
  <sheetData>
    <row r="1" spans="1:2" x14ac:dyDescent="0.35">
      <c r="A1" s="390" t="s">
        <v>353</v>
      </c>
    </row>
    <row r="2" spans="1:2" x14ac:dyDescent="0.35">
      <c r="A2" s="382"/>
      <c r="B2" s="388" t="s">
        <v>331</v>
      </c>
    </row>
    <row r="3" spans="1:2" x14ac:dyDescent="0.35">
      <c r="A3" s="384" t="s">
        <v>332</v>
      </c>
      <c r="B3" s="389" t="s">
        <v>333</v>
      </c>
    </row>
    <row r="4" spans="1:2" x14ac:dyDescent="0.35">
      <c r="A4" s="385" t="s">
        <v>334</v>
      </c>
      <c r="B4" s="386">
        <v>0.60499999999999998</v>
      </c>
    </row>
    <row r="5" spans="1:2" x14ac:dyDescent="0.35">
      <c r="A5" s="385" t="s">
        <v>335</v>
      </c>
      <c r="B5" s="386">
        <v>0.497</v>
      </c>
    </row>
    <row r="6" spans="1:2" x14ac:dyDescent="0.35">
      <c r="A6" s="385" t="s">
        <v>336</v>
      </c>
      <c r="B6" s="386">
        <v>0.51400000000000001</v>
      </c>
    </row>
    <row r="7" spans="1:2" x14ac:dyDescent="0.35">
      <c r="A7" s="385" t="s">
        <v>337</v>
      </c>
      <c r="B7" s="386">
        <v>0.60299999999999998</v>
      </c>
    </row>
    <row r="8" spans="1:2" x14ac:dyDescent="0.35">
      <c r="A8" s="385" t="s">
        <v>338</v>
      </c>
      <c r="B8" s="386">
        <v>0.48199999999999998</v>
      </c>
    </row>
    <row r="9" spans="1:2" x14ac:dyDescent="0.35">
      <c r="A9" s="385" t="s">
        <v>339</v>
      </c>
      <c r="B9" s="386">
        <v>0.56299999999999994</v>
      </c>
    </row>
    <row r="10" spans="1:2" x14ac:dyDescent="0.35">
      <c r="A10" s="385" t="s">
        <v>340</v>
      </c>
      <c r="B10" s="386">
        <v>0.59</v>
      </c>
    </row>
    <row r="11" spans="1:2" x14ac:dyDescent="0.35">
      <c r="A11" s="385" t="s">
        <v>341</v>
      </c>
      <c r="B11" s="386">
        <v>0.59399999999999997</v>
      </c>
    </row>
    <row r="12" spans="1:2" x14ac:dyDescent="0.35">
      <c r="A12" s="385" t="s">
        <v>342</v>
      </c>
      <c r="B12" s="386">
        <v>0.313</v>
      </c>
    </row>
    <row r="13" spans="1:2" x14ac:dyDescent="0.35">
      <c r="A13" s="385" t="s">
        <v>343</v>
      </c>
      <c r="B13" s="386">
        <v>0.56899999999999995</v>
      </c>
    </row>
    <row r="14" spans="1:2" x14ac:dyDescent="0.35">
      <c r="A14" s="385" t="s">
        <v>344</v>
      </c>
      <c r="B14" s="386">
        <v>0.504</v>
      </c>
    </row>
    <row r="15" spans="1:2" x14ac:dyDescent="0.35">
      <c r="A15" s="385" t="s">
        <v>345</v>
      </c>
      <c r="B15" s="386">
        <v>0.42099999999999999</v>
      </c>
    </row>
    <row r="16" spans="1:2" x14ac:dyDescent="0.35">
      <c r="A16" s="385" t="s">
        <v>346</v>
      </c>
      <c r="B16" s="386">
        <v>0.47099999999999997</v>
      </c>
    </row>
    <row r="17" spans="1:2" x14ac:dyDescent="0.35">
      <c r="A17" s="385" t="s">
        <v>347</v>
      </c>
      <c r="B17" s="386">
        <v>0.38200000000000001</v>
      </c>
    </row>
    <row r="18" spans="1:2" x14ac:dyDescent="0.35">
      <c r="A18" s="385" t="s">
        <v>348</v>
      </c>
      <c r="B18" s="386">
        <v>0.38200000000000001</v>
      </c>
    </row>
    <row r="19" spans="1:2" x14ac:dyDescent="0.35">
      <c r="A19" s="385" t="s">
        <v>349</v>
      </c>
      <c r="B19" s="386">
        <v>0.62</v>
      </c>
    </row>
    <row r="20" spans="1:2" x14ac:dyDescent="0.35">
      <c r="A20" s="385" t="s">
        <v>350</v>
      </c>
      <c r="B20" s="386">
        <v>0.628</v>
      </c>
    </row>
    <row r="21" spans="1:2" x14ac:dyDescent="0.35">
      <c r="A21" s="385" t="s">
        <v>351</v>
      </c>
      <c r="B21" s="386">
        <v>0.48199999999999998</v>
      </c>
    </row>
    <row r="22" spans="1:2" x14ac:dyDescent="0.35">
      <c r="A22" s="387" t="s">
        <v>352</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40"/>
  <sheetViews>
    <sheetView tabSelected="1" zoomScale="90" zoomScaleNormal="90" workbookViewId="0">
      <selection activeCell="H30" sqref="H30"/>
    </sheetView>
  </sheetViews>
  <sheetFormatPr defaultRowHeight="12.5" x14ac:dyDescent="0.25"/>
  <cols>
    <col min="1" max="1" width="9.1796875" style="170"/>
    <col min="2" max="2" width="47.453125" customWidth="1"/>
    <col min="3" max="3" width="20.26953125" bestFit="1" customWidth="1"/>
    <col min="4" max="4" width="20.453125" bestFit="1" customWidth="1"/>
    <col min="5" max="5" width="8.54296875" bestFit="1" customWidth="1"/>
    <col min="6" max="6" width="16.453125" customWidth="1"/>
    <col min="7" max="7" width="7" customWidth="1"/>
    <col min="8" max="8" width="16.453125" customWidth="1"/>
    <col min="9" max="9" width="9.54296875" customWidth="1"/>
    <col min="10" max="10" width="16.453125" customWidth="1"/>
    <col min="11" max="11" width="7" customWidth="1"/>
    <col min="12" max="12" width="16.453125" customWidth="1"/>
    <col min="13" max="13" width="8.54296875" bestFit="1" customWidth="1"/>
    <col min="14" max="14" width="16.453125" customWidth="1"/>
    <col min="15" max="15" width="7" customWidth="1"/>
    <col min="16" max="16" width="16.453125" customWidth="1"/>
    <col min="17" max="17" width="7" customWidth="1"/>
    <col min="18" max="18" width="13.81640625" bestFit="1" customWidth="1"/>
    <col min="19" max="19" width="15.7265625" bestFit="1" customWidth="1"/>
    <col min="20" max="20" width="9.1796875" style="170"/>
  </cols>
  <sheetData>
    <row r="1" spans="1:20" ht="22.5" x14ac:dyDescent="0.25">
      <c r="A1" s="296" t="s">
        <v>198</v>
      </c>
      <c r="B1" s="297"/>
      <c r="C1" s="297"/>
      <c r="D1" s="297"/>
      <c r="E1" s="297"/>
      <c r="F1" s="297"/>
      <c r="G1" s="297"/>
      <c r="H1" s="298"/>
      <c r="I1" s="299"/>
      <c r="J1" s="299"/>
      <c r="K1" s="299"/>
      <c r="L1" s="299"/>
      <c r="M1" s="299"/>
      <c r="N1" s="299"/>
      <c r="O1" s="299"/>
      <c r="P1" s="299"/>
      <c r="Q1" s="299"/>
      <c r="R1" s="299"/>
      <c r="S1" s="299"/>
      <c r="T1" s="300"/>
    </row>
    <row r="2" spans="1:20" ht="22.5" x14ac:dyDescent="0.25">
      <c r="A2" s="489" t="str">
        <f>'Institution ID'!C3</f>
        <v>Longwood University</v>
      </c>
      <c r="B2" s="474"/>
      <c r="C2" s="474"/>
      <c r="D2" s="474"/>
      <c r="E2" s="474"/>
      <c r="F2" s="474"/>
      <c r="G2" s="474"/>
      <c r="H2" s="245"/>
      <c r="I2" s="170"/>
      <c r="J2" s="170"/>
      <c r="K2" s="170"/>
      <c r="L2" s="170"/>
      <c r="M2" s="170"/>
      <c r="N2" s="170"/>
      <c r="O2" s="170"/>
      <c r="P2" s="170"/>
      <c r="Q2" s="170"/>
      <c r="R2" s="170"/>
      <c r="S2" s="170"/>
      <c r="T2" s="301"/>
    </row>
    <row r="3" spans="1:20" ht="12.75" customHeight="1" x14ac:dyDescent="0.25">
      <c r="A3" s="491" t="s">
        <v>199</v>
      </c>
      <c r="B3" s="492"/>
      <c r="C3" s="492"/>
      <c r="D3" s="492"/>
      <c r="E3" s="492"/>
      <c r="F3" s="492"/>
      <c r="G3" s="492"/>
      <c r="H3" s="492"/>
      <c r="I3" s="492"/>
      <c r="J3" s="492"/>
      <c r="K3" s="492"/>
      <c r="L3" s="492"/>
      <c r="M3" s="492"/>
      <c r="N3" s="492"/>
      <c r="O3" s="492"/>
      <c r="P3" s="492"/>
      <c r="Q3" s="492"/>
      <c r="R3" s="492"/>
      <c r="S3" s="492"/>
      <c r="T3" s="301"/>
    </row>
    <row r="4" spans="1:20" ht="83.25" customHeight="1" x14ac:dyDescent="0.25">
      <c r="A4" s="491"/>
      <c r="B4" s="492"/>
      <c r="C4" s="492"/>
      <c r="D4" s="492"/>
      <c r="E4" s="492"/>
      <c r="F4" s="492"/>
      <c r="G4" s="492"/>
      <c r="H4" s="492"/>
      <c r="I4" s="492"/>
      <c r="J4" s="492"/>
      <c r="K4" s="492"/>
      <c r="L4" s="492"/>
      <c r="M4" s="492"/>
      <c r="N4" s="492"/>
      <c r="O4" s="492"/>
      <c r="P4" s="492"/>
      <c r="Q4" s="492"/>
      <c r="R4" s="492"/>
      <c r="S4" s="492"/>
      <c r="T4" s="301"/>
    </row>
    <row r="5" spans="1:20" x14ac:dyDescent="0.25">
      <c r="A5" s="302"/>
      <c r="B5" s="170"/>
      <c r="C5" s="170"/>
      <c r="D5" s="170"/>
      <c r="E5" s="170"/>
      <c r="F5" s="170"/>
      <c r="G5" s="170"/>
      <c r="H5" s="170"/>
      <c r="I5" s="170"/>
      <c r="J5" s="170"/>
      <c r="K5" s="170"/>
      <c r="L5" s="170"/>
      <c r="M5" s="170"/>
      <c r="N5" s="170"/>
      <c r="O5" s="170"/>
      <c r="P5" s="170"/>
      <c r="Q5" s="170"/>
      <c r="R5" s="170"/>
      <c r="S5" s="170"/>
      <c r="T5" s="301"/>
    </row>
    <row r="6" spans="1:20" s="170" customFormat="1" ht="13.5" thickBot="1" x14ac:dyDescent="0.35">
      <c r="A6" s="302"/>
      <c r="R6" s="490" t="s">
        <v>200</v>
      </c>
      <c r="S6" s="490"/>
      <c r="T6" s="301"/>
    </row>
    <row r="7" spans="1:20" s="1" customFormat="1" ht="12.75" customHeight="1" x14ac:dyDescent="0.3">
      <c r="A7" s="177"/>
      <c r="B7" s="178" t="s">
        <v>201</v>
      </c>
      <c r="C7" s="255" t="s">
        <v>89</v>
      </c>
      <c r="D7" s="255" t="s">
        <v>90</v>
      </c>
      <c r="E7" s="256" t="s">
        <v>98</v>
      </c>
      <c r="F7" s="257" t="s">
        <v>166</v>
      </c>
      <c r="G7" s="256" t="s">
        <v>98</v>
      </c>
      <c r="H7" s="257" t="s">
        <v>167</v>
      </c>
      <c r="I7" s="256" t="s">
        <v>98</v>
      </c>
      <c r="J7" s="258" t="s">
        <v>168</v>
      </c>
      <c r="K7" s="256" t="s">
        <v>98</v>
      </c>
      <c r="L7" s="258" t="s">
        <v>169</v>
      </c>
      <c r="M7" s="256" t="s">
        <v>98</v>
      </c>
      <c r="N7" s="258" t="s">
        <v>170</v>
      </c>
      <c r="O7" s="256" t="s">
        <v>98</v>
      </c>
      <c r="P7" s="258" t="s">
        <v>171</v>
      </c>
      <c r="Q7" s="256" t="s">
        <v>98</v>
      </c>
      <c r="R7" s="347" t="s">
        <v>202</v>
      </c>
      <c r="S7" s="337" t="s">
        <v>203</v>
      </c>
      <c r="T7" s="303"/>
    </row>
    <row r="8" spans="1:20" ht="13" x14ac:dyDescent="0.3">
      <c r="A8" s="302"/>
      <c r="B8" s="184" t="s">
        <v>204</v>
      </c>
      <c r="C8" s="292">
        <f>'2-Revenue'!B25</f>
        <v>42116202</v>
      </c>
      <c r="D8" s="292">
        <f>'2-Revenue'!C25</f>
        <v>45244759</v>
      </c>
      <c r="E8" s="293">
        <f>IF(C8=0,"%",D8/C8-1)</f>
        <v>7.4283929970703433E-2</v>
      </c>
      <c r="F8" s="292">
        <f>D8+'4-Academic-Financial'!H50</f>
        <v>45844343</v>
      </c>
      <c r="G8" s="293">
        <f>IF(D8=0,"%",F8/D8-1)</f>
        <v>1.3252010028387939E-2</v>
      </c>
      <c r="H8" s="292">
        <f>D8+'4-Academic-Financial'!L50</f>
        <v>46466561</v>
      </c>
      <c r="I8" s="293">
        <f>IF(F8=0,"%",H8/F8-1)</f>
        <v>1.3572405214750338E-2</v>
      </c>
      <c r="J8" s="292">
        <f>IFERROR(D8+'4-Academic-Financial'!L6*SUM('4-Academic-Financial'!M12:M20),0)</f>
        <v>46414238.017228529</v>
      </c>
      <c r="K8" s="293">
        <f>IF(H8=0,"%",J8/H8-1)</f>
        <v>-1.1260351884330166E-3</v>
      </c>
      <c r="L8" s="292">
        <f>IFERROR(D8+'4-Academic-Financial'!L6*SUM('4-Academic-Financial'!N12:N20),0)</f>
        <v>47631844.23417636</v>
      </c>
      <c r="M8" s="293">
        <f>IF(J8=0,"%",L8/J8-1)</f>
        <v>2.6233463457826511E-2</v>
      </c>
      <c r="N8" s="292">
        <f>IFERROR(D8+'4-Academic-Financial'!L6*SUM('4-Academic-Financial'!O12:O20),0)</f>
        <v>48259039.256070741</v>
      </c>
      <c r="O8" s="293">
        <f>IF(L8=0,"%",N8/L8-1)</f>
        <v>1.316755695645222E-2</v>
      </c>
      <c r="P8" s="292">
        <f>IFERROR(D8+'4-Academic-Financial'!L6*SUM('4-Academic-Financial'!P12:P20),0)</f>
        <v>48898905.073231667</v>
      </c>
      <c r="Q8" s="293">
        <f>IF(N8=0,"%",P8/N8-1)</f>
        <v>1.3258983747390651E-2</v>
      </c>
      <c r="R8" s="348">
        <f>IF(C8=0,"%",P8/C8-1)</f>
        <v>0.16104735828818728</v>
      </c>
      <c r="S8" s="338">
        <f>IFERROR(R8/7,"%")</f>
        <v>2.300676546974104E-2</v>
      </c>
      <c r="T8" s="301"/>
    </row>
    <row r="9" spans="1:20" ht="13" x14ac:dyDescent="0.3">
      <c r="A9" s="302"/>
      <c r="B9" s="174" t="s">
        <v>205</v>
      </c>
      <c r="C9" s="241">
        <f>'3-Financial Aid'!I18</f>
        <v>0.10541991580723034</v>
      </c>
      <c r="D9" s="241">
        <f>'3-Financial Aid'!I31</f>
        <v>9.4445757808322969E-2</v>
      </c>
      <c r="E9" s="273" t="str">
        <f>IF(OR(C9=0,C9="%"),"%",_xlfn.CONCAT(ROUND(D9-C9,5)*100,"pt"))</f>
        <v>-1.097pt</v>
      </c>
      <c r="F9" s="241">
        <f>'3-Financial Aid'!I44</f>
        <v>0.10356512918989104</v>
      </c>
      <c r="G9" s="273" t="str">
        <f>IF(OR(D9=0,D9="%"),"%",_xlfn.CONCAT(ROUND(F9-D9,5)*100,"pt"))</f>
        <v>0.912pt</v>
      </c>
      <c r="H9" s="241">
        <f>'3-Financial Aid'!I57</f>
        <v>0.12304083719613329</v>
      </c>
      <c r="I9" s="273" t="str">
        <f>IF(OR(F9=0,F9="%"),"%",_xlfn.CONCAT(ROUND(H9-F9,5)*100,"pt"))</f>
        <v>1.948pt</v>
      </c>
      <c r="J9" s="241">
        <f>'3-Financial Aid'!I70</f>
        <v>0.12836468004975682</v>
      </c>
      <c r="K9" s="273" t="str">
        <f>IF(OR(H9=0,H9="%"),"%",_xlfn.CONCAT(ROUND(J9-H9,5)*100,"pt"))</f>
        <v>0.532pt</v>
      </c>
      <c r="L9" s="241">
        <f>'3-Financial Aid'!I83</f>
        <v>0.13207600744450129</v>
      </c>
      <c r="M9" s="273" t="str">
        <f>IF(OR(J9=0,J9="%"),"%",_xlfn.CONCAT(ROUND(L9-J9,5)*100,"pt"))</f>
        <v>0.371pt</v>
      </c>
      <c r="N9" s="241">
        <f>'3-Financial Aid'!I96</f>
        <v>0.13443295047895809</v>
      </c>
      <c r="O9" s="273" t="str">
        <f>IF(OR(L9=0,L9="%"),"%",_xlfn.CONCAT(ROUND(N9-L9,5)*100,"pt"))</f>
        <v>0.236pt</v>
      </c>
      <c r="P9" s="241">
        <f>'3-Financial Aid'!I109</f>
        <v>0.1352826082815872</v>
      </c>
      <c r="Q9" s="273" t="str">
        <f>IF(OR(N9=0,N9="%"),"%",_xlfn.CONCAT(ROUND(P9-N9,5)*100,"pt"))</f>
        <v>0.085pt</v>
      </c>
      <c r="R9" s="349" t="str">
        <f>IF(OR(C9=0,C9="%"),"%",_xlfn.CONCAT(ROUND(P9-C9,5)*100,"pt"))</f>
        <v>2.986pt</v>
      </c>
      <c r="S9" s="340" t="str">
        <f>IFERROR(R9/7,"%")</f>
        <v>%</v>
      </c>
      <c r="T9" s="301"/>
    </row>
    <row r="10" spans="1:20" ht="13" x14ac:dyDescent="0.3">
      <c r="A10" s="302"/>
      <c r="B10" s="175" t="s">
        <v>206</v>
      </c>
      <c r="C10" s="286">
        <f>'2-Revenue'!B24</f>
        <v>34572764.649999999</v>
      </c>
      <c r="D10" s="286">
        <f>'2-Revenue'!C24</f>
        <v>36467963.666666672</v>
      </c>
      <c r="E10" s="287">
        <f t="shared" ref="E10:E18" si="0">IF(C10=0,"%",D10/C10-1)</f>
        <v>5.4817687733476506E-2</v>
      </c>
      <c r="F10" s="286">
        <f>'2-Revenue'!E24</f>
        <v>36653785</v>
      </c>
      <c r="G10" s="287">
        <f t="shared" ref="G10:Q18" si="1">IF(D10=0,"%",F10/D10-1)</f>
        <v>5.0954677654013736E-3</v>
      </c>
      <c r="H10" s="286">
        <f>'2-Revenue'!G24</f>
        <v>36539020</v>
      </c>
      <c r="I10" s="287">
        <f t="shared" ref="I10:Q18" si="2">IF(F10=0,"%",H10/F10-1)</f>
        <v>-3.13105454184337E-3</v>
      </c>
      <c r="J10" s="286">
        <f>'2-Revenue'!I24</f>
        <v>35840454.666666672</v>
      </c>
      <c r="K10" s="287">
        <f t="shared" si="2"/>
        <v>-1.911833796673601E-2</v>
      </c>
      <c r="L10" s="286">
        <f>'2-Revenue'!K24</f>
        <v>35710824.666666672</v>
      </c>
      <c r="M10" s="287">
        <f t="shared" si="2"/>
        <v>-3.61686259858085E-3</v>
      </c>
      <c r="N10" s="286">
        <f>'2-Revenue'!M24</f>
        <v>36024259.666666672</v>
      </c>
      <c r="O10" s="287">
        <f t="shared" si="2"/>
        <v>8.7770305761818435E-3</v>
      </c>
      <c r="P10" s="286">
        <f>'2-Revenue'!O24</f>
        <v>37446984.666666672</v>
      </c>
      <c r="Q10" s="287">
        <f t="shared" si="2"/>
        <v>3.9493525006884411E-2</v>
      </c>
      <c r="R10" s="350">
        <f>IF(C10=0,"%",P10/C10-1)</f>
        <v>8.3135382598529706E-2</v>
      </c>
      <c r="S10" s="339">
        <f>IFERROR(R10/7,"%")</f>
        <v>1.1876483228361387E-2</v>
      </c>
      <c r="T10" s="301"/>
    </row>
    <row r="11" spans="1:20" ht="13" x14ac:dyDescent="0.3">
      <c r="A11" s="302"/>
      <c r="B11" s="174" t="s">
        <v>207</v>
      </c>
      <c r="C11" s="281"/>
      <c r="D11" s="246">
        <f>D10-C10</f>
        <v>1895199.0166666731</v>
      </c>
      <c r="E11" s="272"/>
      <c r="F11" s="246">
        <f>F10-D10</f>
        <v>185821.33333332837</v>
      </c>
      <c r="G11" s="272">
        <f t="shared" si="1"/>
        <v>-0.9019515461441322</v>
      </c>
      <c r="H11" s="246">
        <f>H10-F10</f>
        <v>-114765</v>
      </c>
      <c r="I11" s="272">
        <f t="shared" si="2"/>
        <v>-1.6176093882295703</v>
      </c>
      <c r="J11" s="246">
        <f>J10-H10</f>
        <v>-698565.33333332837</v>
      </c>
      <c r="K11" s="272">
        <f t="shared" si="2"/>
        <v>5.0869196473953586</v>
      </c>
      <c r="L11" s="246">
        <f>L10-J10</f>
        <v>-129630</v>
      </c>
      <c r="M11" s="272">
        <f t="shared" si="2"/>
        <v>-0.81443396370465815</v>
      </c>
      <c r="N11" s="246">
        <f>N10-L10</f>
        <v>313435</v>
      </c>
      <c r="O11" s="272">
        <f t="shared" si="2"/>
        <v>-3.4179202345136157</v>
      </c>
      <c r="P11" s="246">
        <f>P10-N10</f>
        <v>1422725</v>
      </c>
      <c r="Q11" s="272">
        <f t="shared" si="2"/>
        <v>3.5391388964219059</v>
      </c>
      <c r="R11" s="351">
        <f>IF(D11=0,"%",P11/D11-1)</f>
        <v>-0.24930047584009041</v>
      </c>
      <c r="S11" s="276"/>
      <c r="T11" s="301"/>
    </row>
    <row r="12" spans="1:20" ht="13" x14ac:dyDescent="0.3">
      <c r="A12" s="302"/>
      <c r="B12" s="174" t="s">
        <v>208</v>
      </c>
      <c r="C12" s="281">
        <f>C10+C8</f>
        <v>76688966.650000006</v>
      </c>
      <c r="D12" s="281">
        <f>D10+D8</f>
        <v>81712722.666666672</v>
      </c>
      <c r="E12" s="274">
        <f t="shared" ref="E12" si="3">IF(C12=0,"%",D12/C12-1)</f>
        <v>6.5508198064456069E-2</v>
      </c>
      <c r="F12" s="281">
        <f>F10+F8</f>
        <v>82498128</v>
      </c>
      <c r="G12" s="274">
        <f t="shared" si="1"/>
        <v>9.6117875858483526E-3</v>
      </c>
      <c r="H12" s="281">
        <f>H10+H8</f>
        <v>83005581</v>
      </c>
      <c r="I12" s="274">
        <f t="shared" si="1"/>
        <v>6.1510850282566754E-3</v>
      </c>
      <c r="J12" s="281">
        <f>J10+J8</f>
        <v>82254692.6838952</v>
      </c>
      <c r="K12" s="274">
        <f t="shared" si="1"/>
        <v>-9.0462389041623403E-3</v>
      </c>
      <c r="L12" s="281">
        <f>L10+L8</f>
        <v>83342668.900843024</v>
      </c>
      <c r="M12" s="274">
        <f t="shared" si="1"/>
        <v>1.3226919722731489E-2</v>
      </c>
      <c r="N12" s="281">
        <f>N10+N8</f>
        <v>84283298.92273742</v>
      </c>
      <c r="O12" s="274">
        <f t="shared" si="1"/>
        <v>1.1286295895005516E-2</v>
      </c>
      <c r="P12" s="281">
        <f>P10+P8</f>
        <v>86345889.739898339</v>
      </c>
      <c r="Q12" s="274">
        <f t="shared" si="1"/>
        <v>2.4472117768571167E-2</v>
      </c>
      <c r="R12" s="351">
        <f>IF(D12=0,"%",P12/D12-1)</f>
        <v>5.6700681632307015E-2</v>
      </c>
      <c r="S12" s="276">
        <f>IFERROR(R12/7,"%")</f>
        <v>8.1000973760438598E-3</v>
      </c>
      <c r="T12" s="301"/>
    </row>
    <row r="13" spans="1:20" ht="13" x14ac:dyDescent="0.3">
      <c r="A13" s="302"/>
      <c r="B13" s="176" t="s">
        <v>209</v>
      </c>
      <c r="C13" s="294">
        <f>IF(C8+C10=0,"%",C8/(C8+C10))</f>
        <v>0.54918202499994173</v>
      </c>
      <c r="D13" s="294">
        <f>IF(D8+D10=0,"%",D8/(D8+D10))</f>
        <v>0.55370519453339473</v>
      </c>
      <c r="E13" s="295" t="str">
        <f>IF(OR(C13=0,C13="%"),"%",_xlfn.CONCAT(ROUND(D13-C13,3)*100,"pt"))</f>
        <v>0.5pt</v>
      </c>
      <c r="F13" s="294">
        <f>IF(F8+F10=0,"%",F8/(F8+F10))</f>
        <v>0.55570161543544361</v>
      </c>
      <c r="G13" s="295" t="str">
        <f>IF(OR(D13=0,D13="%"),"%",_xlfn.CONCAT(ROUND(F13-D13,3)*100,"pt"))</f>
        <v>0.2pt</v>
      </c>
      <c r="H13" s="294">
        <f>IF(H8+H10=0,"%",H8/(H8+H10))</f>
        <v>0.55980044281600772</v>
      </c>
      <c r="I13" s="295" t="str">
        <f>IF(OR(F13=0,F13="%"),"%",_xlfn.CONCAT(ROUND(H13-F13,3)*100,"pt"))</f>
        <v>0.4pt</v>
      </c>
      <c r="J13" s="294">
        <f>IF(J8+J10=0,"%",J8/(J8+J10))</f>
        <v>0.56427465112049535</v>
      </c>
      <c r="K13" s="295" t="str">
        <f>IF(OR(H13=0,H13="%"),"%",_xlfn.CONCAT(ROUND(J13-H13,3)*100,"pt"))</f>
        <v>0.4pt</v>
      </c>
      <c r="L13" s="294">
        <f>IF(L8+L10=0,"%",L8/(L8+L10))</f>
        <v>0.57151810545983794</v>
      </c>
      <c r="M13" s="295" t="str">
        <f>IF(OR(J13=0,J13="%"),"%",_xlfn.CONCAT(ROUND(L13-J13,3)*100,"pt"))</f>
        <v>0.7pt</v>
      </c>
      <c r="N13" s="294">
        <f>IF(N8+N10=0,"%",N8/(N8+N10))</f>
        <v>0.57258128090489013</v>
      </c>
      <c r="O13" s="295" t="str">
        <f>IF(OR(L13=0,L13="%"),"%",_xlfn.CONCAT(ROUND(N13-L13,3)*100,"pt"))</f>
        <v>0.1pt</v>
      </c>
      <c r="P13" s="294">
        <f>IF(P8+P10=0,"%",P8/(P8+P10))</f>
        <v>0.56631421855204611</v>
      </c>
      <c r="Q13" s="295" t="str">
        <f>IF(OR(N13=0,N13="%"),"%",_xlfn.CONCAT(ROUND(P13-N13,3)*100,"pt"))</f>
        <v>-0.6pt</v>
      </c>
      <c r="R13" s="352" t="str">
        <f>IF(OR(C13=0,C13="%"),"%",_xlfn.CONCAT(ROUND(P13-C13,3)*100,"pt"))</f>
        <v>1.7pt</v>
      </c>
      <c r="S13" s="340" t="str">
        <f>IFERROR(R13/7,"%")</f>
        <v>%</v>
      </c>
      <c r="T13" s="301"/>
    </row>
    <row r="14" spans="1:20" ht="13" x14ac:dyDescent="0.3">
      <c r="A14" s="302"/>
      <c r="B14" s="175" t="s">
        <v>210</v>
      </c>
      <c r="C14" s="286">
        <f>'4-Academic-Financial'!D5</f>
        <v>79195144</v>
      </c>
      <c r="D14" s="286">
        <f>'4-Academic-Financial'!D6</f>
        <v>82056659</v>
      </c>
      <c r="E14" s="287">
        <f t="shared" si="0"/>
        <v>3.6132455292966048E-2</v>
      </c>
      <c r="F14" s="286">
        <f>D14+F15-F16</f>
        <v>82842363.170000002</v>
      </c>
      <c r="G14" s="287">
        <f t="shared" si="1"/>
        <v>9.5751420978522628E-3</v>
      </c>
      <c r="H14" s="286">
        <f>F14+H15-H16</f>
        <v>84321903.170000002</v>
      </c>
      <c r="I14" s="287">
        <f t="shared" si="2"/>
        <v>1.7859702975443259E-2</v>
      </c>
      <c r="J14" s="286">
        <f>H14+J15-J16</f>
        <v>86664462.170000002</v>
      </c>
      <c r="K14" s="287">
        <f t="shared" si="2"/>
        <v>2.7781144778921796E-2</v>
      </c>
      <c r="L14" s="286">
        <f>J14+L15-L16</f>
        <v>92388528.170000002</v>
      </c>
      <c r="M14" s="287">
        <f t="shared" si="2"/>
        <v>6.6048595429712975E-2</v>
      </c>
      <c r="N14" s="286">
        <f>L14+N15-N16</f>
        <v>100938469.17</v>
      </c>
      <c r="O14" s="287">
        <f t="shared" si="2"/>
        <v>9.2543318627910542E-2</v>
      </c>
      <c r="P14" s="286">
        <f>N14+P15-P16</f>
        <v>111612743.17</v>
      </c>
      <c r="Q14" s="287">
        <f t="shared" si="2"/>
        <v>0.10575030598118595</v>
      </c>
      <c r="R14" s="350">
        <f>IF(C14=0,"%",P14/C14-1)</f>
        <v>0.40933821864128439</v>
      </c>
      <c r="S14" s="339">
        <f>IFERROR(R14/7,"%")</f>
        <v>5.8476888377326341E-2</v>
      </c>
      <c r="T14" s="301"/>
    </row>
    <row r="15" spans="1:20" ht="13" x14ac:dyDescent="0.3">
      <c r="A15" s="302"/>
      <c r="B15" s="174" t="s">
        <v>211</v>
      </c>
      <c r="C15" s="281"/>
      <c r="D15" s="246">
        <f>D14-C14</f>
        <v>2861515</v>
      </c>
      <c r="E15" s="272" t="str">
        <f t="shared" si="0"/>
        <v>%</v>
      </c>
      <c r="F15" s="246">
        <f>'4-Academic-Financial'!E50</f>
        <v>1765902.17</v>
      </c>
      <c r="G15" s="272">
        <f t="shared" si="1"/>
        <v>-0.38287859053683104</v>
      </c>
      <c r="H15" s="246">
        <f>'4-Academic-Financial'!I50</f>
        <v>3720743</v>
      </c>
      <c r="I15" s="272">
        <f t="shared" si="2"/>
        <v>1.1069927107003896</v>
      </c>
      <c r="J15" s="246">
        <f>'4-Academic-Financial'!M50</f>
        <v>4583762</v>
      </c>
      <c r="K15" s="272">
        <f t="shared" si="2"/>
        <v>0.23194802758481314</v>
      </c>
      <c r="L15" s="246">
        <f>'4-Academic-Financial'!N50</f>
        <v>7965269</v>
      </c>
      <c r="M15" s="272">
        <f t="shared" si="2"/>
        <v>0.7377143490434277</v>
      </c>
      <c r="N15" s="246">
        <f>'4-Academic-Financial'!O50</f>
        <v>10791144</v>
      </c>
      <c r="O15" s="272">
        <f t="shared" si="2"/>
        <v>0.35477458451183508</v>
      </c>
      <c r="P15" s="246">
        <f>'4-Academic-Financial'!P50</f>
        <v>12915477</v>
      </c>
      <c r="Q15" s="272">
        <f t="shared" si="2"/>
        <v>0.19685892431794061</v>
      </c>
      <c r="R15" s="351">
        <f>IF(F15=0,"%",P15/F15-1)</f>
        <v>6.313812293463573</v>
      </c>
      <c r="S15" s="276"/>
      <c r="T15" s="301"/>
    </row>
    <row r="16" spans="1:20" ht="13" x14ac:dyDescent="0.3">
      <c r="A16" s="302"/>
      <c r="B16" s="176" t="s">
        <v>212</v>
      </c>
      <c r="C16" s="288"/>
      <c r="D16" s="289"/>
      <c r="E16" s="290"/>
      <c r="F16" s="291">
        <f>'4-Academic-Financial'!F50</f>
        <v>980198</v>
      </c>
      <c r="G16" s="290"/>
      <c r="H16" s="291">
        <f>'4-Academic-Financial'!J50</f>
        <v>2241203</v>
      </c>
      <c r="I16" s="290">
        <f t="shared" si="2"/>
        <v>1.2864798744743409</v>
      </c>
      <c r="J16" s="291">
        <f>H16</f>
        <v>2241203</v>
      </c>
      <c r="K16" s="290"/>
      <c r="L16" s="291">
        <f>J16</f>
        <v>2241203</v>
      </c>
      <c r="M16" s="290"/>
      <c r="N16" s="291">
        <f>L16</f>
        <v>2241203</v>
      </c>
      <c r="O16" s="290"/>
      <c r="P16" s="291">
        <f>N16</f>
        <v>2241203</v>
      </c>
      <c r="Q16" s="290"/>
      <c r="R16" s="353"/>
      <c r="S16" s="340"/>
      <c r="T16" s="301"/>
    </row>
    <row r="17" spans="1:20" ht="13" x14ac:dyDescent="0.3">
      <c r="A17" s="302"/>
      <c r="B17" s="259" t="s">
        <v>213</v>
      </c>
      <c r="C17" s="239">
        <f>C12-C14</f>
        <v>-2506177.349999994</v>
      </c>
      <c r="D17" s="239">
        <f>D12-D14</f>
        <v>-343936.33333332837</v>
      </c>
      <c r="E17" s="247">
        <f t="shared" si="0"/>
        <v>-0.86276456718702321</v>
      </c>
      <c r="F17" s="239">
        <f>F12-F14</f>
        <v>-344235.17000000179</v>
      </c>
      <c r="G17" s="247">
        <f t="shared" si="1"/>
        <v>8.6887204901331394E-4</v>
      </c>
      <c r="H17" s="239">
        <f>H12-H14</f>
        <v>-1316322.1700000018</v>
      </c>
      <c r="I17" s="248">
        <f t="shared" si="2"/>
        <v>2.8239037864724716</v>
      </c>
      <c r="J17" s="239">
        <f>J12-J14</f>
        <v>-4409769.4861048013</v>
      </c>
      <c r="K17" s="248">
        <f t="shared" si="2"/>
        <v>2.3500685368725462</v>
      </c>
      <c r="L17" s="239">
        <f>L12-L14</f>
        <v>-9045859.2691569775</v>
      </c>
      <c r="M17" s="248">
        <f t="shared" si="2"/>
        <v>1.0513224778892662</v>
      </c>
      <c r="N17" s="239">
        <f>N12-N14</f>
        <v>-16655170.247262582</v>
      </c>
      <c r="O17" s="248">
        <f t="shared" si="2"/>
        <v>0.84119272163016401</v>
      </c>
      <c r="P17" s="239">
        <f>P12-P14</f>
        <v>-25266853.430101663</v>
      </c>
      <c r="Q17" s="248">
        <f t="shared" si="2"/>
        <v>0.51705764966614387</v>
      </c>
      <c r="R17" s="354">
        <f>IF(F17=0,"%",P17/F17-1)</f>
        <v>72.399976620929039</v>
      </c>
      <c r="S17" s="341">
        <f>IFERROR(R17/7,"%")</f>
        <v>10.342853802989863</v>
      </c>
      <c r="T17" s="301"/>
    </row>
    <row r="18" spans="1:20" ht="13.5" thickBot="1" x14ac:dyDescent="0.35">
      <c r="A18" s="302"/>
      <c r="B18" s="260" t="s">
        <v>214</v>
      </c>
      <c r="C18" s="261">
        <f>C17</f>
        <v>-2506177.349999994</v>
      </c>
      <c r="D18" s="262">
        <f>D17-C17</f>
        <v>2162241.0166666657</v>
      </c>
      <c r="E18" s="263">
        <f t="shared" si="0"/>
        <v>-1.8627645671870232</v>
      </c>
      <c r="F18" s="264">
        <f>F17-D17</f>
        <v>-298.83666667342186</v>
      </c>
      <c r="G18" s="263">
        <f t="shared" si="1"/>
        <v>-1.0001382069179015</v>
      </c>
      <c r="H18" s="264">
        <f>H17-F17</f>
        <v>-972087</v>
      </c>
      <c r="I18" s="265">
        <f t="shared" si="2"/>
        <v>3251.9040389221291</v>
      </c>
      <c r="J18" s="264">
        <f>J17-H17</f>
        <v>-3093447.3161047995</v>
      </c>
      <c r="K18" s="265">
        <f t="shared" si="2"/>
        <v>2.1822741340073466</v>
      </c>
      <c r="L18" s="264">
        <f>L17-J17</f>
        <v>-4636089.7830521762</v>
      </c>
      <c r="M18" s="265">
        <f t="shared" si="2"/>
        <v>0.49868069804073412</v>
      </c>
      <c r="N18" s="264">
        <f>N17-L17</f>
        <v>-7609310.9781056046</v>
      </c>
      <c r="O18" s="265">
        <f t="shared" si="2"/>
        <v>0.64132088337081439</v>
      </c>
      <c r="P18" s="264">
        <f>P17-N17</f>
        <v>-8611683.1828390807</v>
      </c>
      <c r="Q18" s="265">
        <f t="shared" si="2"/>
        <v>0.13172969374199828</v>
      </c>
      <c r="R18" s="355">
        <f>IF(F18=0,"%",P18/F18-1)</f>
        <v>28816.357918967151</v>
      </c>
      <c r="S18" s="342">
        <f>IFERROR(R18/7,"%")</f>
        <v>4116.6225598524497</v>
      </c>
      <c r="T18" s="301"/>
    </row>
    <row r="19" spans="1:20" x14ac:dyDescent="0.25">
      <c r="A19" s="302"/>
      <c r="B19" s="170"/>
      <c r="C19" s="170"/>
      <c r="D19" s="170"/>
      <c r="E19" s="170"/>
      <c r="F19" s="170"/>
      <c r="G19" s="170"/>
      <c r="H19" s="170"/>
      <c r="I19" s="170"/>
      <c r="J19" s="170"/>
      <c r="K19" s="170"/>
      <c r="L19" s="170"/>
      <c r="M19" s="170"/>
      <c r="N19" s="170"/>
      <c r="O19" s="170"/>
      <c r="P19" s="170"/>
      <c r="Q19" s="170"/>
      <c r="R19" s="170"/>
      <c r="S19" s="170"/>
      <c r="T19" s="301"/>
    </row>
    <row r="20" spans="1:20" ht="13" thickBot="1" x14ac:dyDescent="0.3">
      <c r="A20" s="302"/>
      <c r="B20" s="170"/>
      <c r="C20" s="170"/>
      <c r="D20" s="170"/>
      <c r="E20" s="170"/>
      <c r="F20" s="170"/>
      <c r="G20" s="170"/>
      <c r="H20" s="170"/>
      <c r="I20" s="170"/>
      <c r="J20" s="249"/>
      <c r="K20" s="170"/>
      <c r="L20" s="170"/>
      <c r="M20" s="170"/>
      <c r="N20" s="170"/>
      <c r="O20" s="170"/>
      <c r="P20" s="170"/>
      <c r="Q20" s="170"/>
      <c r="R20" s="170"/>
      <c r="S20" s="170"/>
      <c r="T20" s="301"/>
    </row>
    <row r="21" spans="1:20" s="170" customFormat="1" ht="13.5" thickBot="1" x14ac:dyDescent="0.35">
      <c r="A21" s="302"/>
      <c r="B21" s="306" t="s">
        <v>215</v>
      </c>
      <c r="C21" s="307"/>
      <c r="D21" s="307"/>
      <c r="E21" s="307"/>
      <c r="F21" s="307"/>
      <c r="G21" s="307"/>
      <c r="H21" s="307"/>
      <c r="I21" s="307"/>
      <c r="J21" s="307"/>
      <c r="K21" s="307"/>
      <c r="L21" s="307"/>
      <c r="M21" s="307"/>
      <c r="N21" s="307"/>
      <c r="O21" s="307"/>
      <c r="P21" s="307"/>
      <c r="Q21" s="307"/>
      <c r="R21" s="356"/>
      <c r="S21" s="343"/>
      <c r="T21" s="301"/>
    </row>
    <row r="22" spans="1:20" s="170" customFormat="1" ht="13" x14ac:dyDescent="0.25">
      <c r="A22" s="302"/>
      <c r="B22" s="173"/>
      <c r="C22" s="250" t="s">
        <v>89</v>
      </c>
      <c r="D22" s="250" t="s">
        <v>90</v>
      </c>
      <c r="E22" s="251" t="s">
        <v>98</v>
      </c>
      <c r="F22" s="252" t="s">
        <v>166</v>
      </c>
      <c r="G22" s="251" t="s">
        <v>98</v>
      </c>
      <c r="H22" s="252" t="s">
        <v>167</v>
      </c>
      <c r="I22" s="251" t="s">
        <v>98</v>
      </c>
      <c r="J22" s="253" t="s">
        <v>168</v>
      </c>
      <c r="K22" s="251" t="s">
        <v>98</v>
      </c>
      <c r="L22" s="253" t="s">
        <v>169</v>
      </c>
      <c r="M22" s="251" t="s">
        <v>98</v>
      </c>
      <c r="N22" s="253" t="s">
        <v>170</v>
      </c>
      <c r="O22" s="251" t="s">
        <v>98</v>
      </c>
      <c r="P22" s="253" t="s">
        <v>171</v>
      </c>
      <c r="Q22" s="251" t="s">
        <v>98</v>
      </c>
      <c r="R22" s="357" t="s">
        <v>202</v>
      </c>
      <c r="S22" s="344" t="s">
        <v>203</v>
      </c>
      <c r="T22" s="301"/>
    </row>
    <row r="23" spans="1:20" s="170" customFormat="1" ht="13" x14ac:dyDescent="0.3">
      <c r="A23" s="302"/>
      <c r="B23" s="278" t="s">
        <v>216</v>
      </c>
      <c r="C23" s="279">
        <f>C13</f>
        <v>0.54918202499994173</v>
      </c>
      <c r="D23" s="279">
        <f>C23</f>
        <v>0.54918202499994173</v>
      </c>
      <c r="E23" s="275" t="str">
        <f>IF(OR(C23=0,C23="%"),"%",_xlfn.CONCAT(ROUND(D23-C23,3)*100,"pt"))</f>
        <v>0pt</v>
      </c>
      <c r="F23" s="279">
        <f>D23</f>
        <v>0.54918202499994173</v>
      </c>
      <c r="G23" s="275" t="str">
        <f>IF(OR(D23=0,D23="%"),"%",_xlfn.CONCAT(ROUND(F23-D23,3)*100,"pt"))</f>
        <v>0pt</v>
      </c>
      <c r="H23" s="279">
        <f>F23</f>
        <v>0.54918202499994173</v>
      </c>
      <c r="I23" s="275" t="str">
        <f>IF(OR(F23=0,F23="%"),"%",_xlfn.CONCAT(ROUND(H23-F23,3)*100,"pt"))</f>
        <v>0pt</v>
      </c>
      <c r="J23" s="280">
        <f>H23</f>
        <v>0.54918202499994173</v>
      </c>
      <c r="K23" s="275" t="str">
        <f>IF(OR(H23=0,H23="%"),"%",_xlfn.CONCAT(ROUND(J23-H23,3)*100,"pt"))</f>
        <v>0pt</v>
      </c>
      <c r="L23" s="280">
        <f>J23</f>
        <v>0.54918202499994173</v>
      </c>
      <c r="M23" s="275" t="str">
        <f>IF(OR(J23=0,J23="%"),"%",_xlfn.CONCAT(ROUND(L23-J23,3)*100,"pt"))</f>
        <v>0pt</v>
      </c>
      <c r="N23" s="280">
        <f>L23</f>
        <v>0.54918202499994173</v>
      </c>
      <c r="O23" s="275" t="str">
        <f>IF(OR(L23=0,L23="%"),"%",_xlfn.CONCAT(ROUND(N23-L23,3)*100,"pt"))</f>
        <v>0pt</v>
      </c>
      <c r="P23" s="280">
        <f>N23</f>
        <v>0.54918202499994173</v>
      </c>
      <c r="Q23" s="275" t="str">
        <f>IF(OR(N23=0,N23="%"),"%",_xlfn.CONCAT(ROUND(P23-N23,3)*100,"pt"))</f>
        <v>0pt</v>
      </c>
      <c r="R23" s="358" t="str">
        <f>IF(OR(C23=0,C23="%"),"%",_xlfn.CONCAT(ROUND(P23-C23,3)*100,"pt"))</f>
        <v>0pt</v>
      </c>
      <c r="S23" s="276" t="str">
        <f>IF(OR(C23=0,C23="%"),"%",_xlfn.CONCAT(ROUND((P23-C23)/7,3)*100,"pt"))</f>
        <v>0pt</v>
      </c>
      <c r="T23" s="301"/>
    </row>
    <row r="24" spans="1:20" s="170" customFormat="1" ht="13" x14ac:dyDescent="0.3">
      <c r="A24" s="302"/>
      <c r="B24" s="174" t="s">
        <v>217</v>
      </c>
      <c r="C24" s="254">
        <f>IF(C10=0,"%",(-C18*(1-C$23))/(C10))</f>
        <v>3.2679764240896761E-2</v>
      </c>
      <c r="D24" s="254">
        <f>IF(D10=0,"%",(-D18*(1-D$23))/(D10))</f>
        <v>-2.6729683222941312E-2</v>
      </c>
      <c r="E24" s="275" t="str">
        <f>IF(OR(C24=0,C24="%"),"%",_xlfn.CONCAT(ROUND(D24-C24,3)*100,"pt"))</f>
        <v>-5.9pt</v>
      </c>
      <c r="F24" s="254">
        <f>IF(F10=0,"%",(-F18*(1-F$23))/(F10))</f>
        <v>3.6754987493236905E-6</v>
      </c>
      <c r="G24" s="275" t="str">
        <f>IF(OR(D24=0,D24="%"),"%",_xlfn.CONCAT(ROUND(F24-D24,3)*100,"pt"))</f>
        <v>2.7pt</v>
      </c>
      <c r="H24" s="254">
        <f>IF(H10=0,"%",(-H18*(1-H$23))/(H10))</f>
        <v>1.1993597334134349E-2</v>
      </c>
      <c r="I24" s="275" t="str">
        <f>IF(OR(F24=0,F24="%"),"%",_xlfn.CONCAT(ROUND(H24-F24,3)*100,"pt"))</f>
        <v>1.2pt</v>
      </c>
      <c r="J24" s="254">
        <f>IF(J10=0,"%",(-J18*(1-J$23))/(J10))</f>
        <v>3.8910824870554951E-2</v>
      </c>
      <c r="K24" s="275" t="str">
        <f>IF(OR(H24=0,H24="%"),"%",_xlfn.CONCAT(ROUND(J24-H24,3)*100,"pt"))</f>
        <v>2.7pt</v>
      </c>
      <c r="L24" s="254">
        <f>IF(L10=0,"%",(-L18*(1-L$23))/(L10))</f>
        <v>5.8526584793907807E-2</v>
      </c>
      <c r="M24" s="275" t="str">
        <f>IF(OR(J24=0,J24="%"),"%",_xlfn.CONCAT(ROUND(L24-J24,3)*100,"pt"))</f>
        <v>2pt</v>
      </c>
      <c r="N24" s="254">
        <f>IF(N10=0,"%",(-N18*(1-N$23))/(N10))</f>
        <v>9.5225112133794976E-2</v>
      </c>
      <c r="O24" s="275" t="str">
        <f>IF(OR(L24=0,L24="%"),"%",_xlfn.CONCAT(ROUND(N24-L24,3)*100,"pt"))</f>
        <v>3.7pt</v>
      </c>
      <c r="P24" s="254">
        <f>IF(P10=0,"%",(-P18*(1-P$23))/(P10))</f>
        <v>0.1036746111439352</v>
      </c>
      <c r="Q24" s="275" t="str">
        <f>IF(OR(N24=0,N24="%"),"%",_xlfn.CONCAT(ROUND(P24-N24,3)*100,"pt"))</f>
        <v>0.8pt</v>
      </c>
      <c r="R24" s="358" t="str">
        <f>IF(OR(C24=0,C24="%"),"%",_xlfn.CONCAT(ROUND(P24-C24,3)*100,"pt"))</f>
        <v>7.1pt</v>
      </c>
      <c r="S24" s="276" t="str">
        <f t="shared" ref="S24:S25" si="4">IF(OR(C24=0,C24="%"),"%",_xlfn.CONCAT(ROUND((P24-C24)/7,3)*100,"pt"))</f>
        <v>1pt</v>
      </c>
      <c r="T24" s="301"/>
    </row>
    <row r="25" spans="1:20" s="170" customFormat="1" ht="13.5" thickBot="1" x14ac:dyDescent="0.35">
      <c r="A25" s="302"/>
      <c r="B25" s="266" t="s">
        <v>218</v>
      </c>
      <c r="C25" s="240">
        <f>IF(C8=0,"%",(-C18*C$23)/C8)</f>
        <v>3.2679764240896754E-2</v>
      </c>
      <c r="D25" s="240">
        <f>IF(D8=0,"%",(-D18*D$23)/D8)</f>
        <v>-2.6245335953075408E-2</v>
      </c>
      <c r="E25" s="277" t="str">
        <f>IF(OR(C25=0,C25="%"),"%",_xlfn.CONCAT(ROUND(D25-C25,3)*100,"pt"))</f>
        <v>-5.9pt</v>
      </c>
      <c r="F25" s="240">
        <f>IF(F8=0,"%",(-F18*F$23)/F8)</f>
        <v>3.5798468253311517E-6</v>
      </c>
      <c r="G25" s="277" t="str">
        <f>IF(OR(D25=0,D25="%"),"%",_xlfn.CONCAT(ROUND(F25-D25,3)*100,"pt"))</f>
        <v>2.6pt</v>
      </c>
      <c r="H25" s="240">
        <f>IF(H8=0,"%",(-H18*H$23)/H8)</f>
        <v>1.1488965304234981E-2</v>
      </c>
      <c r="I25" s="277" t="str">
        <f>IF(OR(F25=0,F25="%"),"%",_xlfn.CONCAT(ROUND(H25-F25,3)*100,"pt"))</f>
        <v>1.1pt</v>
      </c>
      <c r="J25" s="240">
        <f>IF(J8=0,"%",(-J18*J$23)/J8)</f>
        <v>3.66022525385091E-2</v>
      </c>
      <c r="K25" s="277" t="str">
        <f>IF(OR(H25=0,H25="%"),"%",_xlfn.CONCAT(ROUND(J25-H25,3)*100,"pt"))</f>
        <v>2.5pt</v>
      </c>
      <c r="L25" s="240">
        <f>IF(L8=0,"%",(-L18*L$23)/L8)</f>
        <v>5.3452836355038946E-2</v>
      </c>
      <c r="M25" s="277" t="str">
        <f>IF(OR(J25=0,J25="%"),"%",_xlfn.CONCAT(ROUND(L25-J25,3)*100,"pt"))</f>
        <v>1.7pt</v>
      </c>
      <c r="N25" s="240">
        <f>IF(N8=0,"%",(-N18*N$23)/N8)</f>
        <v>8.6593037827304847E-2</v>
      </c>
      <c r="O25" s="277" t="str">
        <f>IF(OR(L25=0,L25="%"),"%",_xlfn.CONCAT(ROUND(N25-L25,3)*100,"pt"))</f>
        <v>3.3pt</v>
      </c>
      <c r="P25" s="240">
        <f>IF(P8=0,"%",(-P18*P$23)/P8)</f>
        <v>9.6717535943324773E-2</v>
      </c>
      <c r="Q25" s="277" t="str">
        <f>IF(OR(N25=0,N25="%"),"%",_xlfn.CONCAT(ROUND(P25-N25,3)*100,"pt"))</f>
        <v>1pt</v>
      </c>
      <c r="R25" s="359" t="str">
        <f>IF(OR(C25=0,C25="%"),"%",_xlfn.CONCAT(ROUND(P25-C25,3)*100,"pt"))</f>
        <v>6.4pt</v>
      </c>
      <c r="S25" s="345" t="str">
        <f t="shared" si="4"/>
        <v>0.9pt</v>
      </c>
      <c r="T25" s="301"/>
    </row>
    <row r="26" spans="1:20" s="170" customFormat="1" x14ac:dyDescent="0.25">
      <c r="A26" s="302"/>
      <c r="T26" s="301"/>
    </row>
    <row r="27" spans="1:20" ht="13" thickBot="1" x14ac:dyDescent="0.3">
      <c r="A27" s="302"/>
      <c r="B27" s="170"/>
      <c r="C27" s="170"/>
      <c r="D27" s="170"/>
      <c r="E27" s="170"/>
      <c r="F27" s="170"/>
      <c r="G27" s="170"/>
      <c r="H27" s="170"/>
      <c r="I27" s="170"/>
      <c r="J27" s="170"/>
      <c r="K27" s="170"/>
      <c r="L27" s="170"/>
      <c r="M27" s="170"/>
      <c r="N27" s="170"/>
      <c r="O27" s="170"/>
      <c r="P27" s="170"/>
      <c r="Q27" s="170"/>
      <c r="R27" s="170"/>
      <c r="S27" s="170"/>
      <c r="T27" s="301"/>
    </row>
    <row r="28" spans="1:20" x14ac:dyDescent="0.25">
      <c r="A28" s="302"/>
      <c r="B28" s="486" t="s">
        <v>219</v>
      </c>
      <c r="C28" s="283" t="s">
        <v>220</v>
      </c>
      <c r="D28" s="284">
        <v>0</v>
      </c>
      <c r="E28" s="172" t="s">
        <v>221</v>
      </c>
      <c r="F28" s="172"/>
      <c r="G28" s="172"/>
      <c r="H28" s="172"/>
      <c r="I28" s="172"/>
      <c r="J28" s="172"/>
      <c r="K28" s="172"/>
      <c r="L28" s="172"/>
      <c r="M28" s="172"/>
      <c r="N28" s="172"/>
      <c r="O28" s="172"/>
      <c r="P28" s="172"/>
      <c r="Q28" s="172"/>
      <c r="R28" s="172"/>
      <c r="S28" s="267"/>
      <c r="T28" s="301"/>
    </row>
    <row r="29" spans="1:20" x14ac:dyDescent="0.25">
      <c r="A29" s="302"/>
      <c r="B29" s="487"/>
      <c r="C29" s="245" t="s">
        <v>222</v>
      </c>
      <c r="D29" s="285">
        <v>0</v>
      </c>
      <c r="E29" s="170"/>
      <c r="F29" s="170"/>
      <c r="G29" s="170"/>
      <c r="H29" s="170"/>
      <c r="I29" s="170"/>
      <c r="J29" s="170"/>
      <c r="K29" s="170"/>
      <c r="L29" s="170"/>
      <c r="M29" s="170"/>
      <c r="N29" s="170"/>
      <c r="O29" s="170"/>
      <c r="P29" s="170"/>
      <c r="Q29" s="170"/>
      <c r="R29" s="170"/>
      <c r="S29" s="268"/>
      <c r="T29" s="301"/>
    </row>
    <row r="30" spans="1:20" x14ac:dyDescent="0.25">
      <c r="A30" s="302"/>
      <c r="B30" s="487"/>
      <c r="C30" s="245" t="s">
        <v>223</v>
      </c>
      <c r="D30" s="285">
        <v>0</v>
      </c>
      <c r="E30" s="170"/>
      <c r="F30" s="170"/>
      <c r="G30" s="170"/>
      <c r="H30" s="170"/>
      <c r="I30" s="170"/>
      <c r="J30" s="170"/>
      <c r="K30" s="170"/>
      <c r="L30" s="170"/>
      <c r="M30" s="170"/>
      <c r="N30" s="170"/>
      <c r="O30" s="170"/>
      <c r="P30" s="170"/>
      <c r="Q30" s="170"/>
      <c r="R30" s="170"/>
      <c r="S30" s="268"/>
      <c r="T30" s="301"/>
    </row>
    <row r="31" spans="1:20" ht="13.5" thickBot="1" x14ac:dyDescent="0.35">
      <c r="A31" s="302"/>
      <c r="B31" s="488"/>
      <c r="C31" s="282" t="s">
        <v>224</v>
      </c>
      <c r="D31" s="271">
        <f>SUM(D28:D30)</f>
        <v>0</v>
      </c>
      <c r="E31" s="245"/>
      <c r="F31" s="170"/>
      <c r="G31" s="170"/>
      <c r="H31" s="170"/>
      <c r="I31" s="170"/>
      <c r="J31" s="170"/>
      <c r="K31" s="170"/>
      <c r="L31" s="170"/>
      <c r="M31" s="170"/>
      <c r="N31" s="170"/>
      <c r="O31" s="170"/>
      <c r="P31" s="170"/>
      <c r="Q31" s="170"/>
      <c r="R31" s="170"/>
      <c r="S31" s="268"/>
      <c r="T31" s="301"/>
    </row>
    <row r="32" spans="1:20" ht="13" thickBot="1" x14ac:dyDescent="0.3">
      <c r="A32" s="302"/>
      <c r="B32" s="173"/>
      <c r="C32" s="170"/>
      <c r="D32" s="170"/>
      <c r="E32" s="170"/>
      <c r="F32" s="170"/>
      <c r="G32" s="170"/>
      <c r="H32" s="170"/>
      <c r="I32" s="170"/>
      <c r="J32" s="170"/>
      <c r="K32" s="170"/>
      <c r="L32" s="170"/>
      <c r="M32" s="170"/>
      <c r="N32" s="170"/>
      <c r="O32" s="170"/>
      <c r="P32" s="170"/>
      <c r="Q32" s="170"/>
      <c r="R32" s="170"/>
      <c r="S32" s="346"/>
      <c r="T32" s="301"/>
    </row>
    <row r="33" spans="1:20" ht="13" x14ac:dyDescent="0.25">
      <c r="A33" s="302"/>
      <c r="B33" s="312"/>
      <c r="C33" s="308" t="s">
        <v>89</v>
      </c>
      <c r="D33" s="308" t="s">
        <v>90</v>
      </c>
      <c r="E33" s="309" t="s">
        <v>98</v>
      </c>
      <c r="F33" s="310" t="s">
        <v>166</v>
      </c>
      <c r="G33" s="309" t="s">
        <v>98</v>
      </c>
      <c r="H33" s="310" t="s">
        <v>167</v>
      </c>
      <c r="I33" s="309" t="s">
        <v>98</v>
      </c>
      <c r="J33" s="311" t="s">
        <v>168</v>
      </c>
      <c r="K33" s="309" t="s">
        <v>98</v>
      </c>
      <c r="L33" s="311" t="s">
        <v>169</v>
      </c>
      <c r="M33" s="309" t="s">
        <v>98</v>
      </c>
      <c r="N33" s="311" t="s">
        <v>170</v>
      </c>
      <c r="O33" s="309" t="s">
        <v>98</v>
      </c>
      <c r="P33" s="311" t="s">
        <v>171</v>
      </c>
      <c r="Q33" s="309" t="s">
        <v>98</v>
      </c>
      <c r="R33" s="360" t="s">
        <v>202</v>
      </c>
      <c r="S33" s="337" t="s">
        <v>203</v>
      </c>
      <c r="T33" s="301"/>
    </row>
    <row r="34" spans="1:20" ht="13" x14ac:dyDescent="0.3">
      <c r="A34" s="302"/>
      <c r="B34" s="174" t="s">
        <v>225</v>
      </c>
      <c r="C34" s="241">
        <f>IF(C14=0,"%",(-C18*$D$28)/C14)</f>
        <v>0</v>
      </c>
      <c r="D34" s="241">
        <f>IF(D14=0,"%",(-D18*$D$28)/D14)</f>
        <v>0</v>
      </c>
      <c r="E34" s="275" t="str">
        <f>IF(OR(C34=0,C34="%"),"%",_xlfn.CONCAT(ROUND(D34-C34,3)*100,"pt"))</f>
        <v>%</v>
      </c>
      <c r="F34" s="241">
        <f>IF(F14=0,"%",(-F18*$D$28)/F14)</f>
        <v>0</v>
      </c>
      <c r="G34" s="275" t="str">
        <f>IF(OR(D34=0,D34="%"),"%",_xlfn.CONCAT(ROUND(F34-D34,3)*100,"pt"))</f>
        <v>%</v>
      </c>
      <c r="H34" s="241">
        <f>IF(H14=0,"%",(-H18*$D$28)/H14)</f>
        <v>0</v>
      </c>
      <c r="I34" s="275" t="str">
        <f>IF(OR(F34=0,F34="%"),"%",_xlfn.CONCAT(ROUND(H34-F34,3)*100,"pt"))</f>
        <v>%</v>
      </c>
      <c r="J34" s="241">
        <f>IF(J14=0,"%",(-J18*$D$28)/J14)</f>
        <v>0</v>
      </c>
      <c r="K34" s="275" t="str">
        <f>IF(OR(H34=0,H34="%"),"%",_xlfn.CONCAT(ROUND(J34-H34,3)*100,"pt"))</f>
        <v>%</v>
      </c>
      <c r="L34" s="241">
        <f>IF(L14=0,"%",(-L18*$D$28)/L14)</f>
        <v>0</v>
      </c>
      <c r="M34" s="275" t="str">
        <f>IF(OR(J34=0,J34="%"),"%",_xlfn.CONCAT(ROUND(L34-J34,3)*100,"pt"))</f>
        <v>%</v>
      </c>
      <c r="N34" s="241">
        <f>IF(N14=0,"%",(-N18*$D$28)/N14)</f>
        <v>0</v>
      </c>
      <c r="O34" s="275" t="str">
        <f>IF(OR(L34=0,L34="%"),"%",_xlfn.CONCAT(ROUND(N34-L34,3)*100,"pt"))</f>
        <v>%</v>
      </c>
      <c r="P34" s="241">
        <f>IF(P14=0,"%",(-P18*$D$28)/P14)</f>
        <v>0</v>
      </c>
      <c r="Q34" s="275" t="str">
        <f>IF(OR(N34=0,N34="%"),"%",_xlfn.CONCAT(ROUND(P34-N34,3)*100,"pt"))</f>
        <v>%</v>
      </c>
      <c r="R34" s="358" t="str">
        <f>IF(OR(C34=0,C34="%"),"%",_xlfn.CONCAT(ROUND(P34-C34,3)*100,"pt"))</f>
        <v>%</v>
      </c>
      <c r="S34" s="276" t="str">
        <f t="shared" ref="S34:S37" si="5">IF(OR(C34=0,C34="%"),"%",_xlfn.CONCAT(ROUND((P34-C34)/7,3)*100,"pt"))</f>
        <v>%</v>
      </c>
      <c r="T34" s="301"/>
    </row>
    <row r="35" spans="1:20" ht="13" x14ac:dyDescent="0.3">
      <c r="A35" s="302"/>
      <c r="B35" s="174" t="s">
        <v>226</v>
      </c>
      <c r="C35" s="241">
        <f>IF(C10=0,"%",(-C18*$D$29)/(C10))</f>
        <v>0</v>
      </c>
      <c r="D35" s="241">
        <f>IF(D10=0,"%",(-D18*$D$29)/(D10))</f>
        <v>0</v>
      </c>
      <c r="E35" s="275" t="str">
        <f>IF(OR(C35=0,C35="%"),"%",_xlfn.CONCAT(ROUND(D35-C35,3)*100,"pt"))</f>
        <v>%</v>
      </c>
      <c r="F35" s="241">
        <f>IF(F10=0,"%",(-F18*$D$29)/(F10))</f>
        <v>0</v>
      </c>
      <c r="G35" s="275" t="str">
        <f>IF(OR(D35=0,D35="%"),"%",_xlfn.CONCAT(ROUND(F35-D35,3)*100,"pt"))</f>
        <v>%</v>
      </c>
      <c r="H35" s="241">
        <f>IF(H10=0,"%",(-H18*$D$29)/(H10))</f>
        <v>0</v>
      </c>
      <c r="I35" s="275" t="str">
        <f>IF(OR(F35=0,F35="%"),"%",_xlfn.CONCAT(ROUND(H35-F35,3)*100,"pt"))</f>
        <v>%</v>
      </c>
      <c r="J35" s="241">
        <f>IF(J10=0,"%",(-J18*$D$29)/(J10))</f>
        <v>0</v>
      </c>
      <c r="K35" s="275" t="str">
        <f>IF(OR(H35=0,H35="%"),"%",_xlfn.CONCAT(ROUND(J35-H35,3)*100,"pt"))</f>
        <v>%</v>
      </c>
      <c r="L35" s="241">
        <f>IF(L10=0,"%",(-L18*$D$29)/(L10))</f>
        <v>0</v>
      </c>
      <c r="M35" s="275" t="str">
        <f>IF(OR(J35=0,J35="%"),"%",_xlfn.CONCAT(ROUND(L35-J35,3)*100,"pt"))</f>
        <v>%</v>
      </c>
      <c r="N35" s="241">
        <f>IF(N10=0,"%",(-N18*$D$29)/(N10))</f>
        <v>0</v>
      </c>
      <c r="O35" s="275" t="str">
        <f>IF(OR(L35=0,L35="%"),"%",_xlfn.CONCAT(ROUND(N35-L35,3)*100,"pt"))</f>
        <v>%</v>
      </c>
      <c r="P35" s="241">
        <f>IF(P10=0,"%",(-P18*$D$29)/(P10))</f>
        <v>0</v>
      </c>
      <c r="Q35" s="275" t="str">
        <f>IF(OR(N35=0,N35="%"),"%",_xlfn.CONCAT(ROUND(P35-N35,3)*100,"pt"))</f>
        <v>%</v>
      </c>
      <c r="R35" s="358" t="str">
        <f>IF(OR(C35=0,C35="%"),"%",_xlfn.CONCAT(ROUND(P35-C35,3)*100,"pt"))</f>
        <v>%</v>
      </c>
      <c r="S35" s="276" t="str">
        <f t="shared" si="5"/>
        <v>%</v>
      </c>
      <c r="T35" s="301"/>
    </row>
    <row r="36" spans="1:20" ht="13" x14ac:dyDescent="0.3">
      <c r="A36" s="302"/>
      <c r="B36" s="174" t="s">
        <v>218</v>
      </c>
      <c r="C36" s="241">
        <f>IF(C8=0,"%",(-C18*$D$30)/C8)</f>
        <v>0</v>
      </c>
      <c r="D36" s="241">
        <f>IF(D8=0,"%",(-D18*$D$30)/D8)</f>
        <v>0</v>
      </c>
      <c r="E36" s="275" t="str">
        <f>IF(OR(C36=0,C36="%"),"%",_xlfn.CONCAT(ROUND(D36-C36,3)*100,"pt"))</f>
        <v>%</v>
      </c>
      <c r="F36" s="241">
        <f>IF(F8=0,"%",(-F18*$D$30)/F8)</f>
        <v>0</v>
      </c>
      <c r="G36" s="275" t="str">
        <f>IF(OR(D36=0,D36="%"),"%",_xlfn.CONCAT(ROUND(F36-D36,3)*100,"pt"))</f>
        <v>%</v>
      </c>
      <c r="H36" s="241">
        <f>IF(H8=0,"%",(-H18*$D$30)/H8)</f>
        <v>0</v>
      </c>
      <c r="I36" s="275" t="str">
        <f>IF(OR(F36=0,F36="%"),"%",_xlfn.CONCAT(ROUND(H36-F36,3)*100,"pt"))</f>
        <v>%</v>
      </c>
      <c r="J36" s="241">
        <f>IF(J8=0,"%",(-J18*$D$30)/J8)</f>
        <v>0</v>
      </c>
      <c r="K36" s="275" t="str">
        <f>IF(OR(H36=0,H36="%"),"%",_xlfn.CONCAT(ROUND(J36-H36,3)*100,"pt"))</f>
        <v>%</v>
      </c>
      <c r="L36" s="241">
        <f>IF(L8=0,"%",(-L18*$D$30)/L8)</f>
        <v>0</v>
      </c>
      <c r="M36" s="275" t="str">
        <f>IF(OR(J36=0,J36="%"),"%",_xlfn.CONCAT(ROUND(L36-J36,3)*100,"pt"))</f>
        <v>%</v>
      </c>
      <c r="N36" s="241">
        <f>IF(N8=0,"%",(-N18*$D$30)/N8)</f>
        <v>0</v>
      </c>
      <c r="O36" s="275" t="str">
        <f>IF(OR(L36=0,L36="%"),"%",_xlfn.CONCAT(ROUND(N36-L36,3)*100,"pt"))</f>
        <v>%</v>
      </c>
      <c r="P36" s="241">
        <f>IF(P8=0,"%",(-P18*$D$30)/P8)</f>
        <v>0</v>
      </c>
      <c r="Q36" s="275" t="str">
        <f>IF(OR(N36=0,N36="%"),"%",_xlfn.CONCAT(ROUND(P36-N36,3)*100,"pt"))</f>
        <v>%</v>
      </c>
      <c r="R36" s="358" t="str">
        <f>IF(OR(C36=0,C36="%"),"%",_xlfn.CONCAT(ROUND(P36-C36,3)*100,"pt"))</f>
        <v>%</v>
      </c>
      <c r="S36" s="276" t="str">
        <f t="shared" si="5"/>
        <v>%</v>
      </c>
      <c r="T36" s="301"/>
    </row>
    <row r="37" spans="1:20" ht="13.5" thickBot="1" x14ac:dyDescent="0.35">
      <c r="A37" s="302"/>
      <c r="B37" s="269" t="s">
        <v>209</v>
      </c>
      <c r="C37" s="270">
        <f>IF(C8=0,"%",((1+C36)*C8)/(((1+C35)*C10)+((1+C36)*C8)))</f>
        <v>0.54918202499994173</v>
      </c>
      <c r="D37" s="270">
        <f>IF(D8=0,"%",((1+D36)*D8)/(((1+D35)*D10)+((1+D36)*D8)))</f>
        <v>0.55370519453339473</v>
      </c>
      <c r="E37" s="277" t="str">
        <f>IF(OR(C37=0,C37="%"),"%",_xlfn.CONCAT(ROUND(D37-C37,3)*100,"pt"))</f>
        <v>0.5pt</v>
      </c>
      <c r="F37" s="270">
        <f>IF(F8=0,"%",((1+F36)*F8)/(((1+F35)*F10)+((1+F36)*F8)))</f>
        <v>0.55570161543544361</v>
      </c>
      <c r="G37" s="277" t="str">
        <f>IF(OR(D37=0,D37="%"),"%",_xlfn.CONCAT(ROUND(F37-D37,3)*100,"pt"))</f>
        <v>0.2pt</v>
      </c>
      <c r="H37" s="270">
        <f>IF(H8=0,"%",((1+H36)*H8)/(((1+H35)*H10)+((1+H36)*H8)))</f>
        <v>0.55980044281600772</v>
      </c>
      <c r="I37" s="277" t="str">
        <f>IF(OR(F37=0,F37="%"),"%",_xlfn.CONCAT(ROUND(H37-F37,3)*100,"pt"))</f>
        <v>0.4pt</v>
      </c>
      <c r="J37" s="270">
        <f>IF(J8=0,"%",((1+J36)*J8)/(((1+J35)*J10)+((1+J36)*J8)))</f>
        <v>0.56427465112049535</v>
      </c>
      <c r="K37" s="277" t="str">
        <f>IF(OR(H37=0,H37="%"),"%",_xlfn.CONCAT(ROUND(J37-H37,3)*100,"pt"))</f>
        <v>0.4pt</v>
      </c>
      <c r="L37" s="270">
        <f>IF(L8=0,"%",((1+L36)*L8)/(((1+L35)*L10)+((1+L36)*L8)))</f>
        <v>0.57151810545983794</v>
      </c>
      <c r="M37" s="277" t="str">
        <f>IF(OR(J37=0,J37="%"),"%",_xlfn.CONCAT(ROUND(L37-J37,3)*100,"pt"))</f>
        <v>0.7pt</v>
      </c>
      <c r="N37" s="270">
        <f>IF(N8=0,"%",((1+N36)*N8)/(((1+N35)*N10)+((1+N36)*N8)))</f>
        <v>0.57258128090489013</v>
      </c>
      <c r="O37" s="277" t="str">
        <f>IF(OR(L37=0,L37="%"),"%",_xlfn.CONCAT(ROUND(N37-L37,3)*100,"pt"))</f>
        <v>0.1pt</v>
      </c>
      <c r="P37" s="270">
        <f>IF(P8=0,"%",((1+P36)*P8)/(((1+P35)*P10)+((1+P36)*P8)))</f>
        <v>0.56631421855204611</v>
      </c>
      <c r="Q37" s="277" t="str">
        <f>IF(OR(N37=0,N37="%"),"%",_xlfn.CONCAT(ROUND(P37-N37,3)*100,"pt"))</f>
        <v>-0.6pt</v>
      </c>
      <c r="R37" s="359" t="str">
        <f>IF(OR(C37=0,C37="%"),"%",_xlfn.CONCAT(ROUND(P37-C37,3)*100,"pt"))</f>
        <v>1.7pt</v>
      </c>
      <c r="S37" s="345" t="str">
        <f t="shared" si="5"/>
        <v>0.2pt</v>
      </c>
      <c r="T37" s="301"/>
    </row>
    <row r="38" spans="1:20" x14ac:dyDescent="0.25">
      <c r="A38" s="302"/>
      <c r="B38" s="170"/>
      <c r="C38" s="170"/>
      <c r="D38" s="170"/>
      <c r="E38" s="170"/>
      <c r="F38" s="170"/>
      <c r="G38" s="170"/>
      <c r="H38" s="170"/>
      <c r="I38" s="170"/>
      <c r="J38" s="170"/>
      <c r="K38" s="170"/>
      <c r="L38" s="170"/>
      <c r="M38" s="170"/>
      <c r="N38" s="170"/>
      <c r="O38" s="170"/>
      <c r="P38" s="170"/>
      <c r="Q38" s="170"/>
      <c r="R38" s="170"/>
      <c r="S38" s="170"/>
      <c r="T38" s="301"/>
    </row>
    <row r="39" spans="1:20" x14ac:dyDescent="0.25">
      <c r="A39" s="302"/>
      <c r="B39" s="170"/>
      <c r="C39" s="170"/>
      <c r="D39" s="170"/>
      <c r="E39" s="170"/>
      <c r="F39" s="170"/>
      <c r="G39" s="170"/>
      <c r="H39" s="170"/>
      <c r="I39" s="170"/>
      <c r="J39" s="170"/>
      <c r="K39" s="170"/>
      <c r="L39" s="170"/>
      <c r="M39" s="170"/>
      <c r="N39" s="170"/>
      <c r="O39" s="170"/>
      <c r="P39" s="170"/>
      <c r="Q39" s="170"/>
      <c r="R39" s="170"/>
      <c r="S39" s="170"/>
      <c r="T39" s="301"/>
    </row>
    <row r="40" spans="1:20" x14ac:dyDescent="0.25">
      <c r="A40" s="304"/>
      <c r="B40" s="171"/>
      <c r="C40" s="171"/>
      <c r="D40" s="171"/>
      <c r="E40" s="171"/>
      <c r="F40" s="171"/>
      <c r="G40" s="171"/>
      <c r="H40" s="171"/>
      <c r="I40" s="171"/>
      <c r="J40" s="171"/>
      <c r="K40" s="171"/>
      <c r="L40" s="171"/>
      <c r="M40" s="171"/>
      <c r="N40" s="171"/>
      <c r="O40" s="171"/>
      <c r="P40" s="171"/>
      <c r="Q40" s="171"/>
      <c r="R40" s="171"/>
      <c r="S40" s="171"/>
      <c r="T40" s="305"/>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80" zoomScaleNormal="80" workbookViewId="0">
      <selection activeCell="L11" sqref="L11"/>
    </sheetView>
  </sheetViews>
  <sheetFormatPr defaultColWidth="9.1796875" defaultRowHeight="12.5" x14ac:dyDescent="0.25"/>
  <cols>
    <col min="1" max="1" width="9.1796875" style="1"/>
    <col min="2" max="2" width="72.453125" style="1" bestFit="1" customWidth="1"/>
    <col min="3" max="3" width="40" style="1" customWidth="1"/>
    <col min="4" max="4" width="18.54296875" style="1" customWidth="1"/>
    <col min="5" max="5" width="15.453125" style="1" customWidth="1"/>
    <col min="6" max="6" width="18.54296875" style="1" customWidth="1"/>
    <col min="7" max="7" width="16.453125" style="1" customWidth="1"/>
    <col min="8" max="8" width="80.81640625" style="1" customWidth="1"/>
    <col min="9" max="16384" width="9.1796875" style="1"/>
  </cols>
  <sheetData>
    <row r="1" spans="1:8" ht="20.149999999999999" customHeight="1" x14ac:dyDescent="0.25">
      <c r="A1" s="58" t="s">
        <v>227</v>
      </c>
      <c r="B1" s="58"/>
      <c r="C1" s="58"/>
      <c r="D1" s="58"/>
      <c r="E1" s="58"/>
      <c r="F1" s="58"/>
      <c r="G1" s="58"/>
    </row>
    <row r="2" spans="1:8" ht="20.149999999999999" customHeight="1" x14ac:dyDescent="0.25">
      <c r="A2" s="499" t="str">
        <f>'Institution ID'!C3</f>
        <v>Longwood University</v>
      </c>
      <c r="B2" s="499"/>
      <c r="C2" s="499"/>
      <c r="D2" s="499"/>
      <c r="E2" s="499"/>
      <c r="F2" s="499"/>
      <c r="G2" s="499"/>
    </row>
    <row r="3" spans="1:8" s="6" customFormat="1" ht="30" customHeight="1" x14ac:dyDescent="0.25">
      <c r="A3" s="492" t="s">
        <v>26</v>
      </c>
      <c r="B3" s="492"/>
      <c r="C3" s="492"/>
      <c r="D3" s="492"/>
      <c r="E3" s="492"/>
      <c r="F3" s="492"/>
      <c r="G3" s="492"/>
      <c r="H3" s="492"/>
    </row>
    <row r="4" spans="1:8" s="6" customFormat="1" ht="114" customHeight="1" thickBot="1" x14ac:dyDescent="0.3">
      <c r="A4" s="507"/>
      <c r="B4" s="507"/>
      <c r="C4" s="507"/>
      <c r="D4" s="507"/>
      <c r="E4" s="507"/>
      <c r="F4" s="507"/>
      <c r="G4" s="507"/>
      <c r="H4" s="507"/>
    </row>
    <row r="5" spans="1:8" s="3" customFormat="1" ht="20.149999999999999" customHeight="1" thickBot="1" x14ac:dyDescent="0.4">
      <c r="A5" s="500" t="s">
        <v>228</v>
      </c>
      <c r="B5" s="494" t="s">
        <v>229</v>
      </c>
      <c r="C5" s="495"/>
      <c r="D5" s="495"/>
      <c r="E5" s="495"/>
      <c r="F5" s="495"/>
      <c r="G5" s="495"/>
      <c r="H5" s="496" t="s">
        <v>230</v>
      </c>
    </row>
    <row r="6" spans="1:8" s="3" customFormat="1" ht="20.149999999999999" customHeight="1" thickBot="1" x14ac:dyDescent="0.4">
      <c r="A6" s="501"/>
      <c r="B6" s="48"/>
      <c r="C6" s="378"/>
      <c r="D6" s="494" t="s">
        <v>231</v>
      </c>
      <c r="E6" s="495"/>
      <c r="F6" s="495"/>
      <c r="G6" s="495"/>
      <c r="H6" s="497"/>
    </row>
    <row r="7" spans="1:8" s="3" customFormat="1" ht="20.149999999999999" customHeight="1" thickBot="1" x14ac:dyDescent="0.4">
      <c r="A7" s="501"/>
      <c r="B7" s="496" t="s">
        <v>232</v>
      </c>
      <c r="C7" s="504" t="s">
        <v>233</v>
      </c>
      <c r="D7" s="495"/>
      <c r="E7" s="495"/>
      <c r="F7" s="495"/>
      <c r="G7" s="495"/>
      <c r="H7" s="497"/>
    </row>
    <row r="8" spans="1:8" s="3" customFormat="1" ht="20.149999999999999" customHeight="1" thickBot="1" x14ac:dyDescent="0.4">
      <c r="A8" s="501"/>
      <c r="B8" s="497"/>
      <c r="C8" s="505"/>
      <c r="D8" s="494" t="s">
        <v>166</v>
      </c>
      <c r="E8" s="495"/>
      <c r="F8" s="498" t="s">
        <v>167</v>
      </c>
      <c r="G8" s="495"/>
      <c r="H8" s="497"/>
    </row>
    <row r="9" spans="1:8" s="3" customFormat="1" ht="42" customHeight="1" thickBot="1" x14ac:dyDescent="0.4">
      <c r="A9" s="502"/>
      <c r="B9" s="503"/>
      <c r="C9" s="506"/>
      <c r="D9" s="59" t="s">
        <v>173</v>
      </c>
      <c r="E9" s="60" t="s">
        <v>234</v>
      </c>
      <c r="F9" s="61" t="s">
        <v>173</v>
      </c>
      <c r="G9" s="60" t="s">
        <v>234</v>
      </c>
      <c r="H9" s="497"/>
    </row>
    <row r="10" spans="1:8" ht="25.5" thickBot="1" x14ac:dyDescent="0.3">
      <c r="A10" s="44">
        <v>1</v>
      </c>
      <c r="B10" s="45" t="s">
        <v>389</v>
      </c>
      <c r="C10" s="49"/>
      <c r="D10" s="42">
        <v>3600000</v>
      </c>
      <c r="E10" s="42">
        <v>3600000</v>
      </c>
      <c r="F10" s="42">
        <v>3900000</v>
      </c>
      <c r="G10" s="42">
        <v>3900000</v>
      </c>
      <c r="H10" s="401" t="s">
        <v>395</v>
      </c>
    </row>
    <row r="11" spans="1:8" ht="25.5" thickBot="1" x14ac:dyDescent="0.3">
      <c r="A11" s="44">
        <v>2</v>
      </c>
      <c r="B11" s="45" t="s">
        <v>390</v>
      </c>
      <c r="C11" s="49"/>
      <c r="D11" s="42">
        <v>1325531</v>
      </c>
      <c r="E11" s="42">
        <v>1325531</v>
      </c>
      <c r="F11" s="42">
        <v>1855743</v>
      </c>
      <c r="G11" s="42">
        <v>1855743</v>
      </c>
      <c r="H11" s="401" t="s">
        <v>396</v>
      </c>
    </row>
    <row r="12" spans="1:8" ht="63" thickBot="1" x14ac:dyDescent="0.3">
      <c r="A12" s="44">
        <v>3</v>
      </c>
      <c r="B12" s="45" t="s">
        <v>391</v>
      </c>
      <c r="C12" s="49"/>
      <c r="D12" s="42">
        <v>1200000</v>
      </c>
      <c r="E12" s="42">
        <v>1200000</v>
      </c>
      <c r="F12" s="400">
        <v>1200000</v>
      </c>
      <c r="G12" s="400">
        <v>1200000</v>
      </c>
      <c r="H12" s="401" t="s">
        <v>397</v>
      </c>
    </row>
    <row r="13" spans="1:8" ht="113" thickBot="1" x14ac:dyDescent="0.3">
      <c r="A13" s="44">
        <v>4</v>
      </c>
      <c r="B13" s="399" t="s">
        <v>392</v>
      </c>
      <c r="C13" s="49"/>
      <c r="D13" s="42">
        <v>320000</v>
      </c>
      <c r="E13" s="42">
        <v>320000</v>
      </c>
      <c r="F13" s="42">
        <v>320000</v>
      </c>
      <c r="G13" s="42">
        <v>320000</v>
      </c>
      <c r="H13" s="401" t="s">
        <v>398</v>
      </c>
    </row>
    <row r="14" spans="1:8" ht="38" thickBot="1" x14ac:dyDescent="0.3">
      <c r="A14" s="44">
        <v>5</v>
      </c>
      <c r="B14" s="399" t="s">
        <v>393</v>
      </c>
      <c r="C14" s="49"/>
      <c r="D14" s="42">
        <v>130000</v>
      </c>
      <c r="E14" s="42">
        <v>130000</v>
      </c>
      <c r="F14" s="42">
        <v>130000</v>
      </c>
      <c r="G14" s="42">
        <v>130000</v>
      </c>
      <c r="H14" s="401" t="s">
        <v>399</v>
      </c>
    </row>
    <row r="15" spans="1:8" ht="63" thickBot="1" x14ac:dyDescent="0.3">
      <c r="A15" s="44">
        <v>6</v>
      </c>
      <c r="B15" s="399" t="s">
        <v>394</v>
      </c>
      <c r="C15" s="49"/>
      <c r="D15" s="42">
        <v>160107</v>
      </c>
      <c r="E15" s="42">
        <f>D15*0.5</f>
        <v>80053.5</v>
      </c>
      <c r="F15" s="42">
        <v>261145</v>
      </c>
      <c r="G15" s="42">
        <f>F15*0.5</f>
        <v>130572.5</v>
      </c>
      <c r="H15" s="401" t="s">
        <v>400</v>
      </c>
    </row>
    <row r="16" spans="1:8" ht="20.149999999999999" customHeight="1" thickBot="1" x14ac:dyDescent="0.3">
      <c r="A16" s="44"/>
      <c r="B16" s="45"/>
      <c r="C16" s="49"/>
      <c r="D16" s="42">
        <f>0</f>
        <v>0</v>
      </c>
      <c r="E16" s="42">
        <f>0</f>
        <v>0</v>
      </c>
      <c r="F16" s="42">
        <f>0</f>
        <v>0</v>
      </c>
      <c r="G16" s="42">
        <f>0</f>
        <v>0</v>
      </c>
      <c r="H16" s="113"/>
    </row>
    <row r="17" spans="1:8" ht="20.149999999999999" customHeight="1" thickBot="1" x14ac:dyDescent="0.3">
      <c r="A17" s="44"/>
      <c r="B17" s="45"/>
      <c r="C17" s="49"/>
      <c r="D17" s="42">
        <f>0</f>
        <v>0</v>
      </c>
      <c r="E17" s="42">
        <f>0</f>
        <v>0</v>
      </c>
      <c r="F17" s="42">
        <f>0</f>
        <v>0</v>
      </c>
      <c r="G17" s="42">
        <f>0</f>
        <v>0</v>
      </c>
      <c r="H17" s="113"/>
    </row>
    <row r="18" spans="1:8" ht="20.149999999999999" customHeight="1" thickBot="1" x14ac:dyDescent="0.3">
      <c r="A18" s="44"/>
      <c r="B18" s="45"/>
      <c r="C18" s="49"/>
      <c r="D18" s="42">
        <f>0</f>
        <v>0</v>
      </c>
      <c r="E18" s="42">
        <f>0</f>
        <v>0</v>
      </c>
      <c r="F18" s="42">
        <f>0</f>
        <v>0</v>
      </c>
      <c r="G18" s="42">
        <f>0</f>
        <v>0</v>
      </c>
      <c r="H18" s="113"/>
    </row>
    <row r="19" spans="1:8" ht="20.149999999999999" customHeight="1" thickBot="1" x14ac:dyDescent="0.3">
      <c r="A19" s="44"/>
      <c r="B19" s="45"/>
      <c r="C19" s="49"/>
      <c r="D19" s="42">
        <f>0</f>
        <v>0</v>
      </c>
      <c r="E19" s="42">
        <f>0</f>
        <v>0</v>
      </c>
      <c r="F19" s="42">
        <f>0</f>
        <v>0</v>
      </c>
      <c r="G19" s="42">
        <f>0</f>
        <v>0</v>
      </c>
      <c r="H19" s="113"/>
    </row>
    <row r="20" spans="1:8" ht="20.149999999999999" customHeight="1" thickBot="1" x14ac:dyDescent="0.3">
      <c r="A20" s="44"/>
      <c r="B20" s="45"/>
      <c r="C20" s="49"/>
      <c r="D20" s="42">
        <f>0</f>
        <v>0</v>
      </c>
      <c r="E20" s="42">
        <f>0</f>
        <v>0</v>
      </c>
      <c r="F20" s="42">
        <f>0</f>
        <v>0</v>
      </c>
      <c r="G20" s="42">
        <f>0</f>
        <v>0</v>
      </c>
      <c r="H20" s="113"/>
    </row>
    <row r="21" spans="1:8" ht="20.149999999999999" customHeight="1" thickBot="1" x14ac:dyDescent="0.3">
      <c r="A21" s="44"/>
      <c r="B21" s="45"/>
      <c r="C21" s="49"/>
      <c r="D21" s="42">
        <f>0</f>
        <v>0</v>
      </c>
      <c r="E21" s="42">
        <f>0</f>
        <v>0</v>
      </c>
      <c r="F21" s="42">
        <f>0</f>
        <v>0</v>
      </c>
      <c r="G21" s="42">
        <f>0</f>
        <v>0</v>
      </c>
      <c r="H21" s="113"/>
    </row>
    <row r="22" spans="1:8" ht="20.149999999999999" customHeight="1" thickTop="1" thickBot="1" x14ac:dyDescent="0.3">
      <c r="A22" s="46"/>
      <c r="B22" s="47"/>
      <c r="C22" s="50"/>
      <c r="D22" s="43">
        <f>0</f>
        <v>0</v>
      </c>
      <c r="E22" s="43">
        <f>0</f>
        <v>0</v>
      </c>
      <c r="F22" s="43">
        <f>0</f>
        <v>0</v>
      </c>
      <c r="G22" s="43">
        <f>0</f>
        <v>0</v>
      </c>
      <c r="H22" s="113"/>
    </row>
    <row r="23" spans="1:8" ht="20.149999999999999" customHeight="1" thickTop="1" thickBot="1" x14ac:dyDescent="0.3">
      <c r="A23" s="46"/>
      <c r="B23" s="47"/>
      <c r="C23" s="50"/>
      <c r="D23" s="55">
        <f>0</f>
        <v>0</v>
      </c>
      <c r="E23" s="55">
        <f>0</f>
        <v>0</v>
      </c>
      <c r="F23" s="55">
        <f>0</f>
        <v>0</v>
      </c>
      <c r="G23" s="55">
        <f>0</f>
        <v>0</v>
      </c>
      <c r="H23" s="113"/>
    </row>
    <row r="24" spans="1:8" ht="16" thickTop="1" x14ac:dyDescent="0.25">
      <c r="A24" s="112"/>
      <c r="B24" s="112"/>
      <c r="C24" s="52"/>
      <c r="D24" s="51">
        <f t="shared" ref="D24:G24" si="0">SUM(D10:D23)</f>
        <v>6735638</v>
      </c>
      <c r="E24" s="53">
        <f t="shared" si="0"/>
        <v>6655584.5</v>
      </c>
      <c r="F24" s="54">
        <f t="shared" si="0"/>
        <v>7666888</v>
      </c>
      <c r="G24" s="53">
        <f t="shared" si="0"/>
        <v>7536315.5</v>
      </c>
      <c r="H24" s="112"/>
    </row>
    <row r="25" spans="1:8" x14ac:dyDescent="0.25">
      <c r="B25" s="493"/>
      <c r="C25" s="493"/>
      <c r="D25" s="493"/>
      <c r="E25" s="493"/>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9F7EC7-38FC-4D72-9E6D-294C3743F2F8}"/>
</file>

<file path=customXml/itemProps2.xml><?xml version="1.0" encoding="utf-8"?>
<ds:datastoreItem xmlns:ds="http://schemas.openxmlformats.org/officeDocument/2006/customXml" ds:itemID="{B173ED9B-A135-4073-9603-C359238DEB16}">
  <ds:schemaRefs>
    <ds:schemaRef ds:uri="f3d35a40-bbea-43c8-99cf-c6b5d40b3585"/>
    <ds:schemaRef ds:uri="01e94d65-ae71-498a-a453-e1c80605881d"/>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3E6C5413-E7E9-4C8F-A21A-8400F498C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Pope, Justin</cp:lastModifiedBy>
  <cp:revision/>
  <dcterms:created xsi:type="dcterms:W3CDTF">2011-02-22T14:15:27Z</dcterms:created>
  <dcterms:modified xsi:type="dcterms:W3CDTF">2023-10-05T16:38:07Z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2023-05-17T18:14:39Z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ies>
</file>