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autoCompressPictures="0" defaultThemeVersion="124226"/>
  <mc:AlternateContent xmlns:mc="http://schemas.openxmlformats.org/markup-compatibility/2006">
    <mc:Choice Requires="x15">
      <x15ac:absPath xmlns:x15ac="http://schemas.microsoft.com/office/spreadsheetml/2010/11/ac" url="N:\AF\RM\RM-Common\2426BI\SCHEV\Six Year Plan 2023\Submission\October\"/>
    </mc:Choice>
  </mc:AlternateContent>
  <xr:revisionPtr revIDLastSave="0" documentId="13_ncr:1_{535D75F7-ACCE-4D16-BC2F-51396A9DB704}" xr6:coauthVersionLast="47" xr6:coauthVersionMax="47" xr10:uidLastSave="{00000000-0000-0000-0000-000000000000}"/>
  <bookViews>
    <workbookView xWindow="-21864" yWindow="-19308" windowWidth="30936" windowHeight="18816" tabRatio="659"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'4-Academic-Financial'!$A$1:$Q$46</definedName>
    <definedName name="_xlnm.Print_Area" localSheetId="8">'6-GF Request'!$A$1:$H$21</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K34" i="5" l="1"/>
  <c r="K20" i="5"/>
  <c r="G41" i="28" l="1"/>
  <c r="G39" i="28"/>
  <c r="F39" i="28"/>
  <c r="G54" i="28" l="1"/>
  <c r="G53" i="28"/>
  <c r="G52" i="28"/>
  <c r="F52" i="28"/>
  <c r="G64" i="28" l="1"/>
  <c r="G77" i="28" l="1"/>
  <c r="G67" i="28" l="1"/>
  <c r="F67" i="28"/>
  <c r="G66" i="28"/>
  <c r="F66" i="28"/>
  <c r="G65" i="28"/>
  <c r="F65" i="28"/>
  <c r="G80" i="28"/>
  <c r="F80" i="28"/>
  <c r="G79" i="28"/>
  <c r="F79" i="28"/>
  <c r="G78" i="28"/>
  <c r="F78" i="28"/>
  <c r="G93" i="28"/>
  <c r="F91" i="28"/>
  <c r="G91" i="28"/>
  <c r="G90" i="28"/>
  <c r="G106" i="28" l="1"/>
  <c r="G104" i="28"/>
  <c r="G103" i="28"/>
  <c r="G32" i="2" l="1"/>
  <c r="C32" i="2" l="1"/>
  <c r="E32" i="2" l="1"/>
  <c r="B31" i="2"/>
  <c r="B32" i="2" l="1"/>
  <c r="F38" i="5" l="1"/>
  <c r="G38" i="5"/>
  <c r="J38" i="5"/>
  <c r="K38" i="5"/>
  <c r="M38" i="5"/>
  <c r="N38" i="5"/>
  <c r="O38" i="5"/>
  <c r="P38" i="5"/>
  <c r="Q8" i="2"/>
  <c r="Q9" i="2"/>
  <c r="Q10" i="2"/>
  <c r="Q23" i="2"/>
  <c r="Q7" i="2"/>
  <c r="I38" i="5" l="1"/>
  <c r="E38" i="5"/>
  <c r="K23" i="5"/>
  <c r="K30" i="5"/>
  <c r="G105" i="28" l="1"/>
  <c r="G92" i="28"/>
  <c r="G51" i="28"/>
  <c r="G40" i="28"/>
  <c r="G38" i="28"/>
  <c r="G28" i="28"/>
  <c r="G27" i="28"/>
  <c r="G26" i="28"/>
  <c r="G25" i="28"/>
  <c r="G43" i="28" l="1"/>
  <c r="F43" i="28"/>
  <c r="E43" i="28"/>
  <c r="G42" i="28"/>
  <c r="F42" i="28"/>
  <c r="E42" i="28"/>
  <c r="F41" i="28"/>
  <c r="E41" i="28"/>
  <c r="F40" i="28"/>
  <c r="E40" i="28"/>
  <c r="F38" i="28"/>
  <c r="J31" i="5" l="1"/>
  <c r="G31" i="5"/>
  <c r="F31" i="5"/>
  <c r="J30" i="5"/>
  <c r="F30" i="5"/>
  <c r="J37" i="5"/>
  <c r="I37" i="5" s="1"/>
  <c r="G37" i="5"/>
  <c r="F37" i="5"/>
  <c r="J36" i="5"/>
  <c r="I36" i="5" s="1"/>
  <c r="G36" i="5"/>
  <c r="F36" i="5"/>
  <c r="E37" i="5" l="1"/>
  <c r="E31" i="5"/>
  <c r="E36" i="5"/>
  <c r="I30" i="5"/>
  <c r="I31" i="5"/>
  <c r="N31" i="5" s="1"/>
  <c r="O31" i="5" s="1"/>
  <c r="P31" i="5" s="1"/>
  <c r="E30" i="5"/>
  <c r="N33" i="5" l="1"/>
  <c r="O33" i="5" s="1"/>
  <c r="P33" i="5" s="1"/>
  <c r="J34" i="5" l="1"/>
  <c r="F34" i="5"/>
  <c r="E34" i="5" s="1"/>
  <c r="K33" i="5"/>
  <c r="J33" i="5"/>
  <c r="F33" i="5"/>
  <c r="E33" i="5" s="1"/>
  <c r="J29" i="5"/>
  <c r="I29" i="5" s="1"/>
  <c r="M29" i="5" s="1"/>
  <c r="N29" i="5" s="1"/>
  <c r="O29" i="5" s="1"/>
  <c r="P29" i="5" s="1"/>
  <c r="F29" i="5"/>
  <c r="E29" i="5" s="1"/>
  <c r="J27" i="5"/>
  <c r="F27" i="5"/>
  <c r="J26" i="5"/>
  <c r="F26" i="5"/>
  <c r="K24" i="5"/>
  <c r="J24" i="5"/>
  <c r="J23" i="5"/>
  <c r="J22" i="5"/>
  <c r="P15" i="5"/>
  <c r="O15" i="5"/>
  <c r="N15" i="5"/>
  <c r="M15" i="5"/>
  <c r="J20" i="5"/>
  <c r="J19" i="5"/>
  <c r="J18" i="5"/>
  <c r="J17" i="5"/>
  <c r="J16" i="5"/>
  <c r="J15" i="5"/>
  <c r="I15" i="5" s="1"/>
  <c r="J14" i="5"/>
  <c r="J13" i="5"/>
  <c r="J12" i="5"/>
  <c r="H22" i="5"/>
  <c r="F24" i="5"/>
  <c r="E24" i="5" s="1"/>
  <c r="E23" i="5"/>
  <c r="G22" i="5"/>
  <c r="K22" i="5" s="1"/>
  <c r="F22" i="5"/>
  <c r="F20" i="5"/>
  <c r="F19" i="5"/>
  <c r="H18" i="5"/>
  <c r="L18" i="5" s="1"/>
  <c r="G18" i="5"/>
  <c r="K18" i="5" s="1"/>
  <c r="F18" i="5"/>
  <c r="H17" i="5"/>
  <c r="L17" i="5" s="1"/>
  <c r="G17" i="5"/>
  <c r="K17" i="5" s="1"/>
  <c r="F17" i="5"/>
  <c r="H16" i="5"/>
  <c r="L16" i="5" s="1"/>
  <c r="G16" i="5"/>
  <c r="K16" i="5" s="1"/>
  <c r="F16" i="5"/>
  <c r="F15" i="5"/>
  <c r="E15" i="5" s="1"/>
  <c r="H14" i="5"/>
  <c r="L14" i="5" s="1"/>
  <c r="G14" i="5"/>
  <c r="K14" i="5" s="1"/>
  <c r="F14" i="5"/>
  <c r="H13" i="5"/>
  <c r="L13" i="5" s="1"/>
  <c r="G13" i="5"/>
  <c r="K13" i="5" s="1"/>
  <c r="F13" i="5"/>
  <c r="H12" i="5"/>
  <c r="L12" i="5" s="1"/>
  <c r="G12" i="5"/>
  <c r="K12" i="5" s="1"/>
  <c r="F12" i="5"/>
  <c r="F106" i="28"/>
  <c r="E106" i="28"/>
  <c r="F105" i="28"/>
  <c r="E105" i="28"/>
  <c r="F103" i="28"/>
  <c r="F93" i="28"/>
  <c r="E93" i="28"/>
  <c r="F92" i="28"/>
  <c r="E92" i="28"/>
  <c r="F90" i="28"/>
  <c r="E80" i="28"/>
  <c r="E79" i="28"/>
  <c r="F77" i="28"/>
  <c r="E67" i="28"/>
  <c r="E66" i="28"/>
  <c r="F64" i="28"/>
  <c r="F54" i="28"/>
  <c r="E54" i="28"/>
  <c r="F53" i="28"/>
  <c r="E53" i="28"/>
  <c r="F51" i="28"/>
  <c r="F28" i="28"/>
  <c r="E28" i="28"/>
  <c r="F27" i="28"/>
  <c r="E27" i="28"/>
  <c r="F26" i="28"/>
  <c r="F25" i="28"/>
  <c r="G15" i="28"/>
  <c r="F15" i="28"/>
  <c r="G14" i="28"/>
  <c r="F14" i="28"/>
  <c r="F12" i="28"/>
  <c r="B25" i="2"/>
  <c r="C25" i="2" s="1"/>
  <c r="E11" i="29"/>
  <c r="I19" i="5" l="1"/>
  <c r="M19" i="5" s="1"/>
  <c r="N19" i="5" s="1"/>
  <c r="O19" i="5" s="1"/>
  <c r="P19" i="5" s="1"/>
  <c r="I33" i="5"/>
  <c r="E19" i="5"/>
  <c r="E20" i="5"/>
  <c r="E17" i="5"/>
  <c r="E22" i="5"/>
  <c r="I14" i="5"/>
  <c r="M14" i="5" s="1"/>
  <c r="N14" i="5" s="1"/>
  <c r="O14" i="5" s="1"/>
  <c r="P14" i="5" s="1"/>
  <c r="E12" i="5"/>
  <c r="I16" i="5"/>
  <c r="M16" i="5" s="1"/>
  <c r="N16" i="5" s="1"/>
  <c r="O16" i="5" s="1"/>
  <c r="P16" i="5" s="1"/>
  <c r="I13" i="5"/>
  <c r="M13" i="5" s="1"/>
  <c r="N13" i="5" s="1"/>
  <c r="O13" i="5" s="1"/>
  <c r="P13" i="5" s="1"/>
  <c r="L22" i="5"/>
  <c r="I22" i="5" s="1"/>
  <c r="M22" i="5" s="1"/>
  <c r="N22" i="5" s="1"/>
  <c r="O22" i="5" s="1"/>
  <c r="P22" i="5" s="1"/>
  <c r="I34" i="5"/>
  <c r="M34" i="5" s="1"/>
  <c r="N34" i="5" s="1"/>
  <c r="O34" i="5" s="1"/>
  <c r="P34" i="5" s="1"/>
  <c r="I17" i="5"/>
  <c r="M17" i="5" s="1"/>
  <c r="N17" i="5" s="1"/>
  <c r="O17" i="5" s="1"/>
  <c r="P17" i="5" s="1"/>
  <c r="I12" i="5"/>
  <c r="M12" i="5" s="1"/>
  <c r="N12" i="5" s="1"/>
  <c r="O12" i="5" s="1"/>
  <c r="P12" i="5" s="1"/>
  <c r="E13" i="5"/>
  <c r="E18" i="5"/>
  <c r="I23" i="5"/>
  <c r="E16" i="5"/>
  <c r="E14" i="5"/>
  <c r="I18" i="5"/>
  <c r="M18" i="5" s="1"/>
  <c r="N18" i="5" s="1"/>
  <c r="O18" i="5" s="1"/>
  <c r="P18" i="5" s="1"/>
  <c r="I20" i="5"/>
  <c r="I24" i="5"/>
  <c r="M24" i="5" s="1"/>
  <c r="N24" i="5" s="1"/>
  <c r="O24" i="5" s="1"/>
  <c r="P24" i="5" s="1"/>
  <c r="C11" i="29"/>
  <c r="M20" i="5" l="1"/>
  <c r="M23" i="5"/>
  <c r="H40" i="5"/>
  <c r="N20" i="5" l="1"/>
  <c r="O20" i="5" s="1"/>
  <c r="P20" i="5" s="1"/>
  <c r="N23" i="5"/>
  <c r="O23" i="5" s="1"/>
  <c r="P23" i="5" s="1"/>
  <c r="K39" i="5"/>
  <c r="G39" i="5"/>
  <c r="L6" i="5" l="1"/>
  <c r="D31" i="34" l="1"/>
  <c r="A2" i="34" l="1"/>
  <c r="G108" i="28"/>
  <c r="F108" i="28"/>
  <c r="E108" i="28"/>
  <c r="C108" i="28"/>
  <c r="D108" i="28" s="1"/>
  <c r="G107" i="28"/>
  <c r="F107" i="28"/>
  <c r="E107" i="28"/>
  <c r="C107" i="28"/>
  <c r="D107" i="28" s="1"/>
  <c r="G95" i="28"/>
  <c r="F95" i="28"/>
  <c r="E95" i="28"/>
  <c r="C95" i="28"/>
  <c r="D95" i="28" s="1"/>
  <c r="G94" i="28"/>
  <c r="F94" i="28"/>
  <c r="E94" i="28"/>
  <c r="C94" i="28"/>
  <c r="D94" i="28" s="1"/>
  <c r="G82" i="28"/>
  <c r="F82" i="28"/>
  <c r="E82" i="28"/>
  <c r="C82" i="28"/>
  <c r="D82" i="28" s="1"/>
  <c r="G81" i="28"/>
  <c r="F81" i="28"/>
  <c r="E81" i="28"/>
  <c r="C81" i="28"/>
  <c r="D81" i="28" s="1"/>
  <c r="G69" i="28"/>
  <c r="F69" i="28"/>
  <c r="E69" i="28"/>
  <c r="C69" i="28"/>
  <c r="D69" i="28" s="1"/>
  <c r="G68" i="28"/>
  <c r="F68" i="28"/>
  <c r="E68" i="28"/>
  <c r="C68" i="28"/>
  <c r="D68" i="28" s="1"/>
  <c r="C8" i="34"/>
  <c r="H23" i="2"/>
  <c r="L23" i="2"/>
  <c r="J23" i="2"/>
  <c r="N23" i="2"/>
  <c r="P23" i="2"/>
  <c r="E25" i="2"/>
  <c r="F109" i="28" l="1"/>
  <c r="G109" i="28"/>
  <c r="F96" i="28"/>
  <c r="G96" i="28"/>
  <c r="G83" i="28"/>
  <c r="F83" i="28"/>
  <c r="G70" i="28"/>
  <c r="F70" i="28"/>
  <c r="G25" i="2"/>
  <c r="H25" i="2" s="1"/>
  <c r="D8" i="34"/>
  <c r="F25" i="2"/>
  <c r="D25" i="2"/>
  <c r="P8" i="34" l="1"/>
  <c r="R8" i="34" s="1"/>
  <c r="S8" i="34" s="1"/>
  <c r="L8" i="34"/>
  <c r="J8" i="34"/>
  <c r="N8" i="34"/>
  <c r="E8" i="34"/>
  <c r="I25" i="2"/>
  <c r="J25" i="2" s="1"/>
  <c r="K25" i="2" l="1"/>
  <c r="L25" i="2" l="1"/>
  <c r="M25" i="2"/>
  <c r="N25" i="2" s="1"/>
  <c r="O25" i="2" l="1"/>
  <c r="Q25" i="2" s="1"/>
  <c r="R25" i="2" l="1"/>
  <c r="P25" i="2"/>
  <c r="B64" i="28"/>
  <c r="B77" i="28"/>
  <c r="B90" i="28"/>
  <c r="B103" i="28"/>
  <c r="B104" i="28"/>
  <c r="H104" i="28" s="1"/>
  <c r="I104" i="28" s="1"/>
  <c r="B105" i="28"/>
  <c r="H105" i="28" s="1"/>
  <c r="I105" i="28" s="1"/>
  <c r="B106" i="28"/>
  <c r="H106" i="28" s="1"/>
  <c r="I106" i="28" s="1"/>
  <c r="I11" i="2"/>
  <c r="K11" i="2"/>
  <c r="M11" i="2"/>
  <c r="O11" i="2"/>
  <c r="Q11" i="2" s="1"/>
  <c r="I12" i="2"/>
  <c r="K12" i="2"/>
  <c r="M12" i="2"/>
  <c r="O12" i="2"/>
  <c r="Q12" i="2" s="1"/>
  <c r="I13" i="2"/>
  <c r="L13" i="2" s="1"/>
  <c r="K13" i="2"/>
  <c r="N13" i="2" s="1"/>
  <c r="M13" i="2"/>
  <c r="P13" i="2" s="1"/>
  <c r="O13" i="2"/>
  <c r="Q13" i="2" s="1"/>
  <c r="I14" i="2"/>
  <c r="L14" i="2" s="1"/>
  <c r="K14" i="2"/>
  <c r="N14" i="2" s="1"/>
  <c r="M14" i="2"/>
  <c r="P14" i="2" s="1"/>
  <c r="O14" i="2"/>
  <c r="Q14" i="2" s="1"/>
  <c r="I15" i="2"/>
  <c r="L15" i="2" s="1"/>
  <c r="K15" i="2"/>
  <c r="N15" i="2" s="1"/>
  <c r="M15" i="2"/>
  <c r="P15" i="2" s="1"/>
  <c r="O15" i="2"/>
  <c r="Q15" i="2" s="1"/>
  <c r="I16" i="2"/>
  <c r="L16" i="2" s="1"/>
  <c r="K16" i="2"/>
  <c r="N16" i="2" s="1"/>
  <c r="M16" i="2"/>
  <c r="P16" i="2" s="1"/>
  <c r="O16" i="2"/>
  <c r="Q16" i="2" s="1"/>
  <c r="I17" i="2"/>
  <c r="L17" i="2" s="1"/>
  <c r="K17" i="2"/>
  <c r="N17" i="2" s="1"/>
  <c r="M17" i="2"/>
  <c r="P17" i="2" s="1"/>
  <c r="O17" i="2"/>
  <c r="Q17" i="2" s="1"/>
  <c r="I18" i="2"/>
  <c r="L18" i="2" s="1"/>
  <c r="K18" i="2"/>
  <c r="N18" i="2" s="1"/>
  <c r="M18" i="2"/>
  <c r="P18" i="2" s="1"/>
  <c r="O18" i="2"/>
  <c r="Q18" i="2" s="1"/>
  <c r="I19" i="2"/>
  <c r="L19" i="2" s="1"/>
  <c r="K19" i="2"/>
  <c r="N19" i="2" s="1"/>
  <c r="M19" i="2"/>
  <c r="P19" i="2" s="1"/>
  <c r="O19" i="2"/>
  <c r="Q19" i="2" s="1"/>
  <c r="I20" i="2"/>
  <c r="L20" i="2" s="1"/>
  <c r="K20" i="2"/>
  <c r="N20" i="2" s="1"/>
  <c r="M20" i="2"/>
  <c r="P20" i="2" s="1"/>
  <c r="O20" i="2"/>
  <c r="Q20" i="2" s="1"/>
  <c r="F23" i="2"/>
  <c r="E16" i="29"/>
  <c r="C16" i="29"/>
  <c r="B16" i="29"/>
  <c r="E12" i="29"/>
  <c r="C12" i="29"/>
  <c r="B12" i="29"/>
  <c r="F13" i="29"/>
  <c r="F14" i="29"/>
  <c r="F15" i="29"/>
  <c r="D13" i="29"/>
  <c r="D14" i="29"/>
  <c r="D15" i="29"/>
  <c r="I21" i="2" l="1"/>
  <c r="L21" i="2" s="1"/>
  <c r="K21" i="2"/>
  <c r="N21" i="2" s="1"/>
  <c r="O21" i="2"/>
  <c r="Q21" i="2" s="1"/>
  <c r="M21" i="2"/>
  <c r="P21" i="2" s="1"/>
  <c r="F16" i="29"/>
  <c r="D12" i="29"/>
  <c r="I24" i="2"/>
  <c r="K24" i="2"/>
  <c r="F12" i="29"/>
  <c r="O24" i="2"/>
  <c r="M24" i="2"/>
  <c r="D16" i="29"/>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Q22" i="2" s="1"/>
  <c r="K22" i="2"/>
  <c r="N22" i="2" s="1"/>
  <c r="I22" i="2"/>
  <c r="L22" i="2" s="1"/>
  <c r="P39" i="5"/>
  <c r="O39" i="5"/>
  <c r="N39" i="5"/>
  <c r="M39" i="5"/>
  <c r="I26" i="2" l="1"/>
  <c r="J10" i="34"/>
  <c r="B83" i="28"/>
  <c r="L24" i="2"/>
  <c r="P10" i="34"/>
  <c r="O26" i="2"/>
  <c r="P24" i="2"/>
  <c r="N10" i="34"/>
  <c r="M26" i="2"/>
  <c r="N24" i="2"/>
  <c r="L10" i="34"/>
  <c r="K26" i="2"/>
  <c r="B70" i="28"/>
  <c r="H83" i="28"/>
  <c r="I83" i="28" s="1"/>
  <c r="L9" i="34" s="1"/>
  <c r="I77" i="28"/>
  <c r="B96" i="28"/>
  <c r="B109" i="28"/>
  <c r="I64" i="28"/>
  <c r="H70" i="28"/>
  <c r="I70" i="28" s="1"/>
  <c r="J9" i="34" s="1"/>
  <c r="I90" i="28"/>
  <c r="H96" i="28"/>
  <c r="I96" i="28" s="1"/>
  <c r="N9" i="34" s="1"/>
  <c r="I103" i="28"/>
  <c r="H109" i="28"/>
  <c r="I109" i="28" s="1"/>
  <c r="P9" i="34" s="1"/>
  <c r="P26" i="2" l="1"/>
  <c r="O9" i="34"/>
  <c r="N26" i="2"/>
  <c r="Q9" i="34"/>
  <c r="M9" i="34"/>
  <c r="O10" i="34"/>
  <c r="Q10" i="34"/>
  <c r="N11" i="34"/>
  <c r="P11" i="34"/>
  <c r="L26" i="2"/>
  <c r="Q11" i="34" l="1"/>
  <c r="M10" i="34"/>
  <c r="L11" i="34"/>
  <c r="O11" i="34" l="1"/>
  <c r="D10" i="29" l="1"/>
  <c r="F10" i="29"/>
  <c r="D11" i="29"/>
  <c r="F11" i="29"/>
  <c r="F9" i="29" l="1"/>
  <c r="D9" i="29"/>
  <c r="A2" i="29" l="1"/>
  <c r="A2" i="28" l="1"/>
  <c r="G56" i="28"/>
  <c r="F56" i="28"/>
  <c r="E56" i="28"/>
  <c r="C56" i="28"/>
  <c r="D56" i="28" s="1"/>
  <c r="G55" i="28"/>
  <c r="F55" i="28"/>
  <c r="E55" i="28"/>
  <c r="C55" i="28"/>
  <c r="D55" i="28" s="1"/>
  <c r="C43" i="28"/>
  <c r="D43" i="28" s="1"/>
  <c r="C42" i="28"/>
  <c r="D42" i="28" s="1"/>
  <c r="G30" i="28"/>
  <c r="F30" i="28"/>
  <c r="E30" i="28"/>
  <c r="C30" i="28"/>
  <c r="D30" i="28" s="1"/>
  <c r="G29" i="28"/>
  <c r="F29" i="28"/>
  <c r="E29" i="28"/>
  <c r="C29" i="28"/>
  <c r="D29" i="28" s="1"/>
  <c r="G17" i="28"/>
  <c r="F17" i="28"/>
  <c r="E17" i="28"/>
  <c r="C17" i="28"/>
  <c r="D17" i="28" s="1"/>
  <c r="G16" i="28"/>
  <c r="F16" i="28"/>
  <c r="D16" i="28"/>
  <c r="E15" i="28"/>
  <c r="F44" i="28" l="1"/>
  <c r="G57" i="28"/>
  <c r="F18" i="28"/>
  <c r="G31" i="28"/>
  <c r="E18" i="28"/>
  <c r="G44" i="28"/>
  <c r="F57" i="28"/>
  <c r="G18" i="28"/>
  <c r="F31" i="28"/>
  <c r="E26" i="28" l="1"/>
  <c r="E25" i="28"/>
  <c r="J39" i="5"/>
  <c r="F39" i="5"/>
  <c r="H34" i="2"/>
  <c r="D34" i="2"/>
  <c r="H32" i="2"/>
  <c r="H31" i="2"/>
  <c r="D32" i="2"/>
  <c r="A2" i="21"/>
  <c r="A2" i="5"/>
  <c r="G11" i="2"/>
  <c r="G12" i="2"/>
  <c r="J12" i="2" s="1"/>
  <c r="G13" i="2"/>
  <c r="J13" i="2" s="1"/>
  <c r="G14" i="2"/>
  <c r="J14" i="2" s="1"/>
  <c r="G15" i="2"/>
  <c r="J15" i="2" s="1"/>
  <c r="G16" i="2"/>
  <c r="J16" i="2" s="1"/>
  <c r="G17" i="2"/>
  <c r="J17" i="2" s="1"/>
  <c r="G18" i="2"/>
  <c r="J18" i="2" s="1"/>
  <c r="G19" i="2"/>
  <c r="J19" i="2" s="1"/>
  <c r="G20" i="2"/>
  <c r="J20" i="2" s="1"/>
  <c r="E11" i="2"/>
  <c r="E13" i="2"/>
  <c r="H13" i="2" s="1"/>
  <c r="E15" i="2"/>
  <c r="H15" i="2" s="1"/>
  <c r="E17" i="2"/>
  <c r="H17" i="2" s="1"/>
  <c r="E19" i="2"/>
  <c r="H19" i="2" s="1"/>
  <c r="E12" i="2"/>
  <c r="H12" i="2" s="1"/>
  <c r="E14" i="2"/>
  <c r="H14" i="2" s="1"/>
  <c r="E16" i="2"/>
  <c r="H16" i="2" s="1"/>
  <c r="E18" i="2"/>
  <c r="H18" i="2" s="1"/>
  <c r="E20" i="2"/>
  <c r="H20" i="2" s="1"/>
  <c r="C11" i="2"/>
  <c r="C12" i="2"/>
  <c r="F12" i="2" s="1"/>
  <c r="C13" i="2"/>
  <c r="F13" i="2" s="1"/>
  <c r="C14" i="2"/>
  <c r="F14" i="2" s="1"/>
  <c r="C16" i="2"/>
  <c r="F16" i="2" s="1"/>
  <c r="C18" i="2"/>
  <c r="F18" i="2" s="1"/>
  <c r="C20" i="2"/>
  <c r="F20" i="2" s="1"/>
  <c r="C15" i="2"/>
  <c r="F15" i="2" s="1"/>
  <c r="C17" i="2"/>
  <c r="F17" i="2" s="1"/>
  <c r="C19" i="2"/>
  <c r="F19" i="2" s="1"/>
  <c r="R9" i="2"/>
  <c r="B11" i="2"/>
  <c r="B12" i="2"/>
  <c r="B13" i="2"/>
  <c r="B14" i="2"/>
  <c r="B15" i="2"/>
  <c r="B16" i="2"/>
  <c r="B17" i="2"/>
  <c r="B18" i="2"/>
  <c r="B19" i="2"/>
  <c r="B20" i="2"/>
  <c r="D108" i="9"/>
  <c r="G108" i="9"/>
  <c r="D87" i="9"/>
  <c r="G87" i="9"/>
  <c r="G66" i="9"/>
  <c r="D66" i="9"/>
  <c r="D45" i="9"/>
  <c r="G45" i="9"/>
  <c r="D24" i="9"/>
  <c r="G24" i="9"/>
  <c r="D37" i="9"/>
  <c r="G37" i="9"/>
  <c r="F47" i="9"/>
  <c r="E47" i="9"/>
  <c r="C47" i="9"/>
  <c r="B47" i="9"/>
  <c r="D46" i="9"/>
  <c r="G46" i="9"/>
  <c r="G44" i="9"/>
  <c r="D44" i="9"/>
  <c r="G43" i="9"/>
  <c r="D43" i="9"/>
  <c r="G42" i="9"/>
  <c r="D42" i="9"/>
  <c r="G41" i="9"/>
  <c r="D41" i="9"/>
  <c r="G40" i="9"/>
  <c r="D40" i="9"/>
  <c r="G39" i="9"/>
  <c r="D39" i="9"/>
  <c r="G38" i="9"/>
  <c r="D38" i="9"/>
  <c r="G36" i="9"/>
  <c r="D36" i="9"/>
  <c r="G34" i="9"/>
  <c r="D34" i="9"/>
  <c r="G33" i="9"/>
  <c r="D33" i="9"/>
  <c r="G32" i="9"/>
  <c r="D32" i="9"/>
  <c r="G31" i="9"/>
  <c r="D31" i="9"/>
  <c r="F110" i="9"/>
  <c r="E110" i="9"/>
  <c r="C110" i="9"/>
  <c r="B110" i="9"/>
  <c r="G109" i="9"/>
  <c r="D109"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F89" i="9"/>
  <c r="E89" i="9"/>
  <c r="C89" i="9"/>
  <c r="B89" i="9"/>
  <c r="G88" i="9"/>
  <c r="D88"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56" i="9"/>
  <c r="D56" i="9"/>
  <c r="F68" i="9"/>
  <c r="E68" i="9"/>
  <c r="C68" i="9"/>
  <c r="B68" i="9"/>
  <c r="G67" i="9"/>
  <c r="D67" i="9"/>
  <c r="G65" i="9"/>
  <c r="D65" i="9"/>
  <c r="G64" i="9"/>
  <c r="D64" i="9"/>
  <c r="G63" i="9"/>
  <c r="D63" i="9"/>
  <c r="G62" i="9"/>
  <c r="D62" i="9"/>
  <c r="G61" i="9"/>
  <c r="D61" i="9"/>
  <c r="G60" i="9"/>
  <c r="D60" i="9"/>
  <c r="G59" i="9"/>
  <c r="D59" i="9"/>
  <c r="G58" i="9"/>
  <c r="D58" i="9"/>
  <c r="G57" i="9"/>
  <c r="D57" i="9"/>
  <c r="G55" i="9"/>
  <c r="D55" i="9"/>
  <c r="G54" i="9"/>
  <c r="D54" i="9"/>
  <c r="G53" i="9"/>
  <c r="D53" i="9"/>
  <c r="G52" i="9"/>
  <c r="D52" i="9"/>
  <c r="F26" i="9"/>
  <c r="E26" i="9"/>
  <c r="C26" i="9"/>
  <c r="B26" i="9"/>
  <c r="G10" i="9"/>
  <c r="D10" i="9"/>
  <c r="G25" i="9"/>
  <c r="D25" i="9"/>
  <c r="G23" i="9"/>
  <c r="D23" i="9"/>
  <c r="G22" i="9"/>
  <c r="D22" i="9"/>
  <c r="G21" i="9"/>
  <c r="D21" i="9"/>
  <c r="G20" i="9"/>
  <c r="D20" i="9"/>
  <c r="G19" i="9"/>
  <c r="D19" i="9"/>
  <c r="G18" i="9"/>
  <c r="D18" i="9"/>
  <c r="G17" i="9"/>
  <c r="D17" i="9"/>
  <c r="G15" i="9"/>
  <c r="D15" i="9"/>
  <c r="G13" i="9"/>
  <c r="D13" i="9"/>
  <c r="G12" i="9"/>
  <c r="D12" i="9"/>
  <c r="G11" i="9"/>
  <c r="D11" i="9"/>
  <c r="A1" i="9"/>
  <c r="A2" i="9"/>
  <c r="A2" i="2"/>
  <c r="F31" i="2" l="1"/>
  <c r="F32" i="2"/>
  <c r="D31" i="2"/>
  <c r="F34" i="2"/>
  <c r="H80" i="9"/>
  <c r="H84" i="9"/>
  <c r="H42" i="9"/>
  <c r="H95" i="9"/>
  <c r="H36" i="9"/>
  <c r="H73" i="9"/>
  <c r="H102" i="9"/>
  <c r="H88" i="9"/>
  <c r="H46" i="9"/>
  <c r="H24" i="9"/>
  <c r="H55" i="9"/>
  <c r="H79" i="9"/>
  <c r="H83" i="9"/>
  <c r="H52" i="9"/>
  <c r="H57" i="9"/>
  <c r="H61" i="9"/>
  <c r="H65" i="9"/>
  <c r="H97" i="9"/>
  <c r="H11" i="9"/>
  <c r="H21" i="9"/>
  <c r="H56" i="9"/>
  <c r="H23" i="9"/>
  <c r="H10" i="9"/>
  <c r="H67" i="9"/>
  <c r="H32" i="9"/>
  <c r="H54" i="9"/>
  <c r="H105" i="9"/>
  <c r="H33" i="9"/>
  <c r="H87" i="9"/>
  <c r="H15" i="9"/>
  <c r="H20" i="9"/>
  <c r="H25" i="9"/>
  <c r="H60" i="9"/>
  <c r="H99" i="9"/>
  <c r="H107" i="9"/>
  <c r="H77" i="9"/>
  <c r="H13" i="9"/>
  <c r="H19" i="9"/>
  <c r="H101" i="9"/>
  <c r="H64" i="9"/>
  <c r="H82" i="9"/>
  <c r="H44" i="9"/>
  <c r="H106" i="9"/>
  <c r="H31" i="9"/>
  <c r="H76" i="9"/>
  <c r="H18" i="9"/>
  <c r="H58" i="9"/>
  <c r="H75" i="9"/>
  <c r="H94" i="9"/>
  <c r="H98" i="9"/>
  <c r="H34" i="9"/>
  <c r="H40" i="9"/>
  <c r="H66" i="9"/>
  <c r="H17" i="9"/>
  <c r="H62" i="9"/>
  <c r="H37" i="9"/>
  <c r="G110" i="9"/>
  <c r="H103" i="9"/>
  <c r="H59" i="9"/>
  <c r="H81" i="9"/>
  <c r="H96" i="9"/>
  <c r="H100" i="9"/>
  <c r="H74" i="9"/>
  <c r="H78" i="9"/>
  <c r="H39" i="9"/>
  <c r="H12" i="9"/>
  <c r="G89" i="9"/>
  <c r="D26" i="9"/>
  <c r="D68" i="9"/>
  <c r="H85" i="9"/>
  <c r="H104" i="9"/>
  <c r="H45" i="9"/>
  <c r="H108" i="9"/>
  <c r="G68" i="9"/>
  <c r="H11" i="2"/>
  <c r="E24" i="2"/>
  <c r="H22" i="9"/>
  <c r="H86" i="9"/>
  <c r="H109" i="9"/>
  <c r="H41" i="9"/>
  <c r="J11" i="2"/>
  <c r="G24" i="2"/>
  <c r="H63" i="9"/>
  <c r="D47" i="9"/>
  <c r="B24" i="2"/>
  <c r="Q24" i="2" s="1"/>
  <c r="D110" i="9"/>
  <c r="E31" i="28"/>
  <c r="E38" i="28" s="1"/>
  <c r="G47" i="9"/>
  <c r="G26" i="9"/>
  <c r="H43" i="9"/>
  <c r="F11" i="2"/>
  <c r="C24" i="2"/>
  <c r="D21" i="21"/>
  <c r="E21" i="21"/>
  <c r="G21" i="21"/>
  <c r="F40" i="5"/>
  <c r="F16" i="34" s="1"/>
  <c r="L40" i="5"/>
  <c r="J40" i="5"/>
  <c r="H16" i="34" s="1"/>
  <c r="J16" i="34" s="1"/>
  <c r="H6"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D89" i="9"/>
  <c r="H53" i="9"/>
  <c r="H38" i="9"/>
  <c r="F21" i="21"/>
  <c r="B51" i="28"/>
  <c r="H51" i="28" s="1"/>
  <c r="I51" i="28" s="1"/>
  <c r="C33" i="2"/>
  <c r="B38" i="28"/>
  <c r="H38" i="28" s="1"/>
  <c r="I38" i="28" s="1"/>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E39" i="5"/>
  <c r="I39" i="5"/>
  <c r="E39" i="28" l="1"/>
  <c r="H33" i="2"/>
  <c r="F33" i="2"/>
  <c r="D33" i="2"/>
  <c r="H26" i="9"/>
  <c r="H89" i="9"/>
  <c r="H68" i="9"/>
  <c r="H110" i="9"/>
  <c r="C26" i="2"/>
  <c r="D6" i="5" s="1"/>
  <c r="D14" i="34" s="1"/>
  <c r="D10" i="34"/>
  <c r="F24" i="2"/>
  <c r="D24" i="2"/>
  <c r="R24" i="2"/>
  <c r="B26" i="2"/>
  <c r="Q26" i="2" s="1"/>
  <c r="C10" i="34"/>
  <c r="H24" i="2"/>
  <c r="F10" i="34"/>
  <c r="E26" i="2"/>
  <c r="H47" i="9"/>
  <c r="H10" i="34"/>
  <c r="J24" i="2"/>
  <c r="G26" i="2"/>
  <c r="I16" i="34"/>
  <c r="L16" i="34"/>
  <c r="H8" i="34"/>
  <c r="D22" i="2"/>
  <c r="R22" i="2"/>
  <c r="D21" i="2"/>
  <c r="R21" i="2"/>
  <c r="B18" i="28"/>
  <c r="B31" i="28"/>
  <c r="C28" i="28" s="1"/>
  <c r="D28" i="28" s="1"/>
  <c r="B44" i="28"/>
  <c r="H44" i="28"/>
  <c r="I44" i="28" s="1"/>
  <c r="F9" i="34" s="1"/>
  <c r="H18" i="28"/>
  <c r="I18" i="28" s="1"/>
  <c r="C9" i="34" s="1"/>
  <c r="R9" i="34" s="1"/>
  <c r="S9" i="34" s="1"/>
  <c r="H57" i="28"/>
  <c r="I57" i="28" s="1"/>
  <c r="H9" i="34" s="1"/>
  <c r="K9" i="34" s="1"/>
  <c r="H31" i="28"/>
  <c r="I31" i="28" s="1"/>
  <c r="D9" i="34" s="1"/>
  <c r="B57" i="28"/>
  <c r="G27" i="5" l="1"/>
  <c r="E27" i="5" s="1"/>
  <c r="G26" i="5"/>
  <c r="G9" i="34"/>
  <c r="I9" i="34"/>
  <c r="C25" i="28"/>
  <c r="D5" i="5"/>
  <c r="C14" i="34" s="1"/>
  <c r="C26" i="28"/>
  <c r="D26" i="28" s="1"/>
  <c r="D13" i="34"/>
  <c r="D12" i="34"/>
  <c r="C27" i="28"/>
  <c r="D27" i="28" s="1"/>
  <c r="E44" i="28"/>
  <c r="E51" i="28" s="1"/>
  <c r="C13" i="28"/>
  <c r="D13" i="28" s="1"/>
  <c r="C12" i="28"/>
  <c r="C15" i="28"/>
  <c r="D15" i="28" s="1"/>
  <c r="C14" i="28"/>
  <c r="D14" i="28" s="1"/>
  <c r="R26" i="2"/>
  <c r="R10" i="34"/>
  <c r="S10" i="34" s="1"/>
  <c r="C13" i="34"/>
  <c r="C12" i="34"/>
  <c r="N16" i="34"/>
  <c r="J12" i="34"/>
  <c r="M8" i="34"/>
  <c r="J13" i="34"/>
  <c r="L12" i="34"/>
  <c r="L13" i="34"/>
  <c r="O8" i="34"/>
  <c r="P13" i="34"/>
  <c r="P12" i="34"/>
  <c r="N13" i="34"/>
  <c r="Q8" i="34"/>
  <c r="N12" i="34"/>
  <c r="H13" i="34"/>
  <c r="H12" i="34"/>
  <c r="K8" i="34"/>
  <c r="F13" i="34"/>
  <c r="I8" i="34"/>
  <c r="F12" i="34"/>
  <c r="E9" i="34"/>
  <c r="D26" i="2"/>
  <c r="G10" i="34"/>
  <c r="H26" i="2"/>
  <c r="K10" i="34"/>
  <c r="J11" i="34"/>
  <c r="J26" i="2"/>
  <c r="F26" i="2"/>
  <c r="E52" i="28" l="1"/>
  <c r="C41" i="28"/>
  <c r="D41" i="28" s="1"/>
  <c r="E26" i="5"/>
  <c r="E40" i="5" s="1"/>
  <c r="F15" i="34" s="1"/>
  <c r="F14" i="34" s="1"/>
  <c r="G14" i="34" s="1"/>
  <c r="G40" i="5"/>
  <c r="I45" i="5" s="1"/>
  <c r="R12" i="34"/>
  <c r="S12" i="34" s="1"/>
  <c r="C17" i="34"/>
  <c r="C18" i="34" s="1"/>
  <c r="C35" i="34" s="1"/>
  <c r="R35" i="34" s="1"/>
  <c r="C18" i="28"/>
  <c r="D18" i="28" s="1"/>
  <c r="J12" i="28"/>
  <c r="K12" i="28" s="1"/>
  <c r="D12" i="28"/>
  <c r="E12" i="34"/>
  <c r="D17" i="34"/>
  <c r="C38" i="28"/>
  <c r="C39" i="28"/>
  <c r="D39" i="28" s="1"/>
  <c r="C40" i="28"/>
  <c r="D40" i="28" s="1"/>
  <c r="E13" i="34"/>
  <c r="C23" i="34"/>
  <c r="E14" i="34"/>
  <c r="R13" i="34"/>
  <c r="S13" i="34" s="1"/>
  <c r="D25" i="28"/>
  <c r="C31" i="28"/>
  <c r="D31" i="28" s="1"/>
  <c r="J25" i="28"/>
  <c r="K25" i="28" s="1"/>
  <c r="M13" i="34"/>
  <c r="O13" i="34"/>
  <c r="Q13" i="34"/>
  <c r="P16" i="34"/>
  <c r="I13" i="34"/>
  <c r="G13" i="34"/>
  <c r="K13" i="34"/>
  <c r="M12" i="34"/>
  <c r="Q12" i="34"/>
  <c r="O12" i="34"/>
  <c r="K12" i="34"/>
  <c r="I12" i="34"/>
  <c r="G12" i="34"/>
  <c r="M11" i="34"/>
  <c r="H11" i="34"/>
  <c r="D11" i="34"/>
  <c r="E10" i="34"/>
  <c r="I10" i="34"/>
  <c r="F11" i="34"/>
  <c r="K27" i="5" l="1"/>
  <c r="I27" i="5" s="1"/>
  <c r="M27" i="5" s="1"/>
  <c r="N27" i="5" s="1"/>
  <c r="O27" i="5" s="1"/>
  <c r="P27" i="5" s="1"/>
  <c r="K26" i="5"/>
  <c r="I26" i="5" s="1"/>
  <c r="M26" i="5" s="1"/>
  <c r="N26" i="5" s="1"/>
  <c r="F17" i="34"/>
  <c r="F18" i="34" s="1"/>
  <c r="C34" i="34"/>
  <c r="E34" i="34" s="1"/>
  <c r="G17" i="34"/>
  <c r="C36" i="34"/>
  <c r="R36" i="34" s="1"/>
  <c r="E18" i="34"/>
  <c r="S35" i="34"/>
  <c r="E35" i="34"/>
  <c r="E17" i="34"/>
  <c r="D18" i="34"/>
  <c r="D38" i="28"/>
  <c r="C44" i="28"/>
  <c r="D44" i="28" s="1"/>
  <c r="J38" i="28"/>
  <c r="K38" i="28" s="1"/>
  <c r="E57" i="28"/>
  <c r="E64" i="28" s="1"/>
  <c r="D23" i="34"/>
  <c r="E23" i="34" s="1"/>
  <c r="C24" i="34"/>
  <c r="E24" i="34" s="1"/>
  <c r="C25" i="34"/>
  <c r="G11" i="34"/>
  <c r="R11" i="34"/>
  <c r="K11" i="34"/>
  <c r="I11" i="34"/>
  <c r="E65" i="28" l="1"/>
  <c r="R34" i="34"/>
  <c r="S34" i="34"/>
  <c r="K40" i="5"/>
  <c r="J45" i="5" s="1"/>
  <c r="M40" i="5"/>
  <c r="J15" i="34" s="1"/>
  <c r="J14" i="34" s="1"/>
  <c r="I40" i="5"/>
  <c r="H15" i="34" s="1"/>
  <c r="H14" i="34" s="1"/>
  <c r="I14" i="34" s="1"/>
  <c r="O26" i="5"/>
  <c r="N40" i="5"/>
  <c r="L15" i="34" s="1"/>
  <c r="S36" i="34"/>
  <c r="E36" i="34"/>
  <c r="C37" i="34"/>
  <c r="F23" i="34"/>
  <c r="H23" i="34" s="1"/>
  <c r="C54" i="28"/>
  <c r="D54" i="28" s="1"/>
  <c r="C53" i="28"/>
  <c r="D53" i="28" s="1"/>
  <c r="C52" i="28"/>
  <c r="D52" i="28" s="1"/>
  <c r="C51" i="28"/>
  <c r="D25" i="34"/>
  <c r="E25" i="34" s="1"/>
  <c r="D36" i="34"/>
  <c r="D34" i="34"/>
  <c r="G34" i="34" s="1"/>
  <c r="D35" i="34"/>
  <c r="G35" i="34" s="1"/>
  <c r="D24" i="34"/>
  <c r="F36" i="34"/>
  <c r="F35" i="34"/>
  <c r="G18" i="34"/>
  <c r="F34" i="34"/>
  <c r="K14" i="34" l="1"/>
  <c r="M15" i="34"/>
  <c r="H17" i="34"/>
  <c r="I15" i="34"/>
  <c r="J17" i="34"/>
  <c r="K15" i="34"/>
  <c r="F24" i="34"/>
  <c r="L14" i="34"/>
  <c r="M14" i="34" s="1"/>
  <c r="P26" i="5"/>
  <c r="P40" i="5" s="1"/>
  <c r="P15" i="34" s="1"/>
  <c r="O40" i="5"/>
  <c r="N15" i="34" s="1"/>
  <c r="F25" i="34"/>
  <c r="E70" i="28"/>
  <c r="E77" i="28" s="1"/>
  <c r="J51" i="28"/>
  <c r="K51" i="28" s="1"/>
  <c r="C57" i="28"/>
  <c r="D57" i="28" s="1"/>
  <c r="D51" i="28"/>
  <c r="G36" i="34"/>
  <c r="D37" i="34"/>
  <c r="E37" i="34" s="1"/>
  <c r="I23" i="34"/>
  <c r="J23" i="34"/>
  <c r="G23" i="34"/>
  <c r="G25" i="34"/>
  <c r="I36" i="34"/>
  <c r="F37" i="34"/>
  <c r="G24" i="34"/>
  <c r="E78" i="28" l="1"/>
  <c r="H18" i="34"/>
  <c r="H25" i="34" s="1"/>
  <c r="I25" i="34" s="1"/>
  <c r="I17" i="34"/>
  <c r="J18" i="34"/>
  <c r="J36" i="34" s="1"/>
  <c r="K17" i="34"/>
  <c r="L17" i="34"/>
  <c r="M17" i="34" s="1"/>
  <c r="Q15" i="34"/>
  <c r="N14" i="34"/>
  <c r="O14" i="34" s="1"/>
  <c r="R15" i="34"/>
  <c r="P14" i="34"/>
  <c r="R14" i="34" s="1"/>
  <c r="S14" i="34" s="1"/>
  <c r="O15" i="34"/>
  <c r="K23" i="34"/>
  <c r="L23" i="34"/>
  <c r="C65" i="28"/>
  <c r="D65" i="28" s="1"/>
  <c r="C67" i="28"/>
  <c r="D67" i="28" s="1"/>
  <c r="C66" i="28"/>
  <c r="D66" i="28" s="1"/>
  <c r="C64" i="28"/>
  <c r="G37" i="34"/>
  <c r="H35" i="34" l="1"/>
  <c r="I35" i="34" s="1"/>
  <c r="H24" i="34"/>
  <c r="I24" i="34" s="1"/>
  <c r="I18" i="34"/>
  <c r="H34" i="34"/>
  <c r="H36" i="34"/>
  <c r="K36" i="34" s="1"/>
  <c r="J34" i="34"/>
  <c r="J24" i="34"/>
  <c r="K18" i="34"/>
  <c r="J25" i="34"/>
  <c r="K25" i="34" s="1"/>
  <c r="J35" i="34"/>
  <c r="J37" i="34" s="1"/>
  <c r="L18" i="34"/>
  <c r="L24" i="34" s="1"/>
  <c r="Q14" i="34"/>
  <c r="N17" i="34"/>
  <c r="O17" i="34" s="1"/>
  <c r="J64" i="28"/>
  <c r="K64" i="28" s="1"/>
  <c r="C70" i="28"/>
  <c r="D70" i="28" s="1"/>
  <c r="D64" i="28"/>
  <c r="M23" i="34"/>
  <c r="N23" i="34"/>
  <c r="O23" i="34" s="1"/>
  <c r="E83" i="28"/>
  <c r="E90" i="28" s="1"/>
  <c r="P17" i="34"/>
  <c r="E91" i="28" l="1"/>
  <c r="E96" i="28" s="1"/>
  <c r="E103" i="28" s="1"/>
  <c r="K34" i="34"/>
  <c r="I34" i="34"/>
  <c r="H37" i="34"/>
  <c r="I37" i="34" s="1"/>
  <c r="K35" i="34"/>
  <c r="K24" i="34"/>
  <c r="L25" i="34"/>
  <c r="M25" i="34" s="1"/>
  <c r="M24" i="34"/>
  <c r="Q17" i="34"/>
  <c r="L36" i="34"/>
  <c r="M36" i="34" s="1"/>
  <c r="L35" i="34"/>
  <c r="M35" i="34" s="1"/>
  <c r="M18" i="34"/>
  <c r="L34" i="34"/>
  <c r="M34" i="34" s="1"/>
  <c r="N18" i="34"/>
  <c r="N34" i="34" s="1"/>
  <c r="P23" i="34"/>
  <c r="Q23" i="34" s="1"/>
  <c r="C78" i="28"/>
  <c r="D78" i="28" s="1"/>
  <c r="C79" i="28"/>
  <c r="D79" i="28" s="1"/>
  <c r="C77" i="28"/>
  <c r="C80" i="28"/>
  <c r="D80" i="28" s="1"/>
  <c r="P18" i="34"/>
  <c r="R17" i="34"/>
  <c r="S17" i="34" s="1"/>
  <c r="E104" i="28" l="1"/>
  <c r="K37" i="34"/>
  <c r="L37" i="34"/>
  <c r="M37" i="34" s="1"/>
  <c r="N35" i="34"/>
  <c r="O35" i="34" s="1"/>
  <c r="N24" i="34"/>
  <c r="O24" i="34" s="1"/>
  <c r="N25" i="34"/>
  <c r="O25" i="34" s="1"/>
  <c r="N36" i="34"/>
  <c r="O36" i="34" s="1"/>
  <c r="O18" i="34"/>
  <c r="J77" i="28"/>
  <c r="K77" i="28" s="1"/>
  <c r="D77" i="28"/>
  <c r="C83" i="28"/>
  <c r="D83" i="28" s="1"/>
  <c r="S23" i="34"/>
  <c r="R23" i="34"/>
  <c r="C91" i="28"/>
  <c r="D91" i="28" s="1"/>
  <c r="C90" i="28"/>
  <c r="C93" i="28"/>
  <c r="D93" i="28" s="1"/>
  <c r="C92" i="28"/>
  <c r="D92" i="28" s="1"/>
  <c r="O34" i="34"/>
  <c r="P25" i="34"/>
  <c r="P36" i="34"/>
  <c r="P35" i="34"/>
  <c r="P24" i="34"/>
  <c r="P34" i="34"/>
  <c r="Q34" i="34" s="1"/>
  <c r="R18" i="34"/>
  <c r="S18" i="34" s="1"/>
  <c r="Q18" i="34"/>
  <c r="Q36" i="34" l="1"/>
  <c r="Q35" i="34"/>
  <c r="N37" i="34"/>
  <c r="O37" i="34" s="1"/>
  <c r="Q24" i="34"/>
  <c r="E109" i="28"/>
  <c r="C106" i="28" s="1"/>
  <c r="D106" i="28" s="1"/>
  <c r="C96" i="28"/>
  <c r="D96" i="28" s="1"/>
  <c r="D90" i="28"/>
  <c r="P37" i="34"/>
  <c r="S37" i="34" s="1"/>
  <c r="S25" i="34"/>
  <c r="R25" i="34"/>
  <c r="Q25" i="34"/>
  <c r="S24" i="34"/>
  <c r="R24" i="34"/>
  <c r="C103" i="28" l="1"/>
  <c r="D103" i="28" s="1"/>
  <c r="C105" i="28"/>
  <c r="D105" i="28" s="1"/>
  <c r="C104" i="28"/>
  <c r="D104" i="28" s="1"/>
  <c r="Q37" i="34"/>
  <c r="R37" i="34"/>
  <c r="C109" i="28" l="1"/>
  <c r="D109" i="28" s="1"/>
</calcChain>
</file>

<file path=xl/sharedStrings.xml><?xml version="1.0" encoding="utf-8"?>
<sst xmlns="http://schemas.openxmlformats.org/spreadsheetml/2006/main" count="775" uniqueCount="414">
  <si>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</si>
  <si>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</si>
  <si>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</si>
  <si>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</si>
  <si>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</si>
  <si>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</si>
  <si>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</si>
  <si>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</si>
  <si>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</si>
  <si>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</si>
  <si>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</si>
  <si>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</si>
  <si>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</si>
  <si>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</si>
  <si>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</si>
  <si>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</si>
  <si>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</si>
  <si>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</si>
  <si>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</si>
  <si>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</si>
  <si>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</si>
  <si>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</si>
  <si>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</si>
  <si>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</si>
  <si>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</si>
  <si>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</si>
  <si>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</si>
  <si>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</si>
  <si>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</si>
  <si>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</si>
  <si>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</si>
  <si>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</si>
  <si>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</si>
  <si>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</si>
  <si>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</si>
  <si>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</si>
  <si>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</si>
  <si>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</si>
  <si>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</si>
  <si>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</si>
  <si>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</si>
  <si>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</si>
  <si>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</si>
  <si>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</si>
  <si>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</si>
  <si>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</si>
  <si>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</si>
  <si>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</si>
  <si>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</si>
  <si>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</si>
  <si>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</si>
  <si>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</si>
  <si>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</si>
  <si>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</si>
  <si>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</si>
  <si>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</si>
  <si>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</si>
  <si>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</si>
  <si>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</si>
  <si>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</si>
  <si>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</si>
  <si>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</si>
  <si>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</si>
  <si>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</si>
  <si>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James Madison University</t>
  </si>
  <si>
    <t>Institution UNITID:</t>
  </si>
  <si>
    <t>216</t>
  </si>
  <si>
    <t>Individual responsible for plan</t>
  </si>
  <si>
    <t>Name(s) &amp; Title(s):</t>
  </si>
  <si>
    <t>Email address(es):</t>
  </si>
  <si>
    <t>mooreth@jmu.edu</t>
  </si>
  <si>
    <t>Telephone number(s):</t>
  </si>
  <si>
    <t>540-568-6434</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</si>
  <si>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</si>
  <si>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</si>
  <si>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</si>
  <si>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</si>
  <si>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</si>
  <si>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</si>
  <si>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</si>
  <si>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</si>
  <si>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</si>
  <si>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</si>
  <si>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</si>
  <si>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</si>
  <si>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</si>
  <si>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</si>
  <si>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</si>
  <si>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</si>
  <si>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</si>
  <si>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</si>
  <si>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</si>
  <si>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</si>
  <si>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</si>
  <si>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</si>
  <si>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</si>
  <si>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</si>
  <si>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</si>
  <si>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</si>
  <si>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</si>
  <si>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</si>
  <si>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</si>
  <si>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</si>
  <si>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</si>
  <si>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</si>
  <si>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</si>
  <si>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</si>
  <si>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</si>
  <si>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</si>
  <si>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</si>
  <si>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</si>
  <si>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</si>
  <si>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</si>
  <si>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</si>
  <si>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</si>
  <si>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</si>
  <si>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</si>
  <si>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</si>
  <si>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</si>
  <si>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</si>
  <si>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</si>
  <si>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</si>
  <si>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</si>
  <si>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</si>
  <si>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</si>
  <si>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</si>
  <si>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</si>
  <si>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</si>
  <si>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</si>
  <si>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</si>
  <si>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</si>
  <si>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</si>
  <si>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</si>
  <si>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</si>
  <si>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</si>
  <si>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</si>
  <si>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</si>
  <si>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</si>
  <si>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</si>
  <si>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</si>
  <si>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</si>
  <si>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</si>
  <si>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</si>
  <si>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</si>
  <si>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</si>
  <si>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</si>
  <si>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</si>
  <si>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</si>
  <si>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</si>
  <si>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</si>
  <si>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</si>
  <si>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</si>
  <si>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</si>
  <si>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</si>
  <si>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</si>
  <si>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</si>
  <si>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</si>
  <si>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</si>
  <si>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</si>
  <si>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</si>
  <si>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</si>
  <si>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</si>
  <si>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</si>
  <si>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biennium and 2028-2030 biennium,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</si>
  <si>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</si>
  <si>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</si>
  <si>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</si>
  <si>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</si>
  <si>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</si>
  <si>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</si>
  <si>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</si>
  <si>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</si>
  <si>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</si>
  <si>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</si>
  <si>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</si>
  <si>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</si>
  <si>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</si>
  <si>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</si>
  <si>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</si>
  <si>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</si>
  <si>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</si>
  <si>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</si>
  <si>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</si>
  <si>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</si>
  <si>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</si>
  <si>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</si>
  <si>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Annual 2% salary increase for filled teaching and research faculty positions as of April 2023.</t>
  </si>
  <si>
    <t>Increase Admin. Faculty Salaries</t>
  </si>
  <si>
    <t>Annual 2% salary increase for filled administrative and professional faculty positions as of April 2023.</t>
  </si>
  <si>
    <t>Increase Classified Staff Salaries</t>
  </si>
  <si>
    <t>Annual 2% salary increase for filled classified positions as of April 2023.</t>
  </si>
  <si>
    <t>Increase University Staff Salaries</t>
  </si>
  <si>
    <t>Increase GTA Salaries</t>
  </si>
  <si>
    <t>Annual 2% increase for graduate assistantships and teaching assistantships.</t>
  </si>
  <si>
    <t>Increase Adjunct Faculty Salaries</t>
  </si>
  <si>
    <t>Annual 2% increase for adjunct faculty positions.</t>
  </si>
  <si>
    <t>3% annual state health insurance cost</t>
  </si>
  <si>
    <t>Annual 3% increase for state health insurance costs.</t>
  </si>
  <si>
    <t>Minimum Wage</t>
  </si>
  <si>
    <t>Minimum wage cost increase to $13.50 on January 1, 2025, and to $15.00 on January 1, 2026.</t>
  </si>
  <si>
    <t>Faculty/Staff Promotions/In-Band Adjustments</t>
  </si>
  <si>
    <t>Recognize faculty who reach the highest levels of teaching and scholarship performance and achieve tenure within the academic ranks.  In response to changes in the classified workforce, provide additional resources for employee retention, changes in job duties, and salary compression.  Reference E1.</t>
  </si>
  <si>
    <t>Inflationary non-personnel cost increases</t>
  </si>
  <si>
    <t>5.36% annual VITA charge increase</t>
  </si>
  <si>
    <t>Annual 5.36% Virginia Information Technologies Agency (VITA) charge increase.</t>
  </si>
  <si>
    <t>Contractual services</t>
  </si>
  <si>
    <t>Annual 3% inflation adjustment in select contractual nonpersonal services.</t>
  </si>
  <si>
    <t>Utilities</t>
  </si>
  <si>
    <t>Average 2% increase in utility costs.</t>
  </si>
  <si>
    <t>Financial aid expansion</t>
  </si>
  <si>
    <t>Addt'l In-State Student Financial Aid from Tuition Rev</t>
  </si>
  <si>
    <t>Increase in Financial Aid due to tuition and fee increases.</t>
  </si>
  <si>
    <t>Addt'l Out-of-State Student Financial Aid from Tuition Rev</t>
  </si>
  <si>
    <t>New/expanded academic programs</t>
  </si>
  <si>
    <t>Expansion of Physician Assistant Program</t>
  </si>
  <si>
    <t>Expansion of Physician Assistant Program to help meet shortages in PAs within the Commonwealth. Reference E.1.</t>
  </si>
  <si>
    <t>Supporting Growth of the Computer Science and Information Technology Majors</t>
  </si>
  <si>
    <t>Support the growth of the computer science and information technology majors to help meet the needs of employers across the Commonwealth and meet student demand. Reference E1.</t>
  </si>
  <si>
    <t>Meet the Commonwealth's Mental Health Needs</t>
  </si>
  <si>
    <t>Maintain and grow the institution's Ph.D. program in counseling and supervision, plus increase the number of mental health professionals and clinicians in support of community wellness and needs of the Commonwealth. Reference E1.</t>
  </si>
  <si>
    <t>Other academic &amp; student support strategies &amp; initiatives</t>
  </si>
  <si>
    <t>Early Student Success System</t>
  </si>
  <si>
    <t>Implement the Early Student Success System (ESSS), which is designed to improve retention and close the current equity gap affecting under-represented students. Reference E1.</t>
  </si>
  <si>
    <t>Reengineering Madison</t>
  </si>
  <si>
    <t>Annual subscription cost for information technology infrastructure to replace current software that is approaching end of life.  Includes customer relationship management (CRM), data warehouse, identity management  and enterprise resource planning (ERP) expenses. Reference E1.</t>
  </si>
  <si>
    <t>Other non-academic strategies &amp; initiatives</t>
  </si>
  <si>
    <t>Carrier Library - Expansion</t>
  </si>
  <si>
    <t xml:space="preserve">Staffing and utility costs associated with the expanded square footage of Carrier Library.  Expected completion date is January 2026. </t>
  </si>
  <si>
    <t>Carrier Library - Renovated Space</t>
  </si>
  <si>
    <t>Staffing and utility costs associated with the renovation section of Carrier Library.  Expected completion date is January 2026.</t>
  </si>
  <si>
    <t>[Add lines &amp; descriptions here]</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</si>
  <si>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</si>
  <si>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</si>
  <si>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</si>
  <si>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</si>
  <si>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</si>
  <si>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</si>
  <si>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</si>
  <si>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</si>
  <si>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</si>
  <si>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</si>
  <si>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</si>
  <si>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</si>
  <si>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</si>
  <si>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</si>
  <si>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</si>
  <si>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</si>
  <si>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</si>
  <si>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</si>
  <si>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</si>
  <si>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</si>
  <si>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</si>
  <si>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</si>
  <si>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</si>
  <si>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</si>
  <si>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</si>
  <si>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</si>
  <si>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</si>
  <si>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</si>
  <si>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</si>
  <si>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</si>
  <si>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</si>
  <si>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</si>
  <si>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</si>
  <si>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</si>
  <si>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</si>
  <si>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</si>
  <si>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</si>
  <si>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</si>
  <si>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</si>
  <si>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</si>
  <si>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</si>
  <si>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</si>
  <si>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</si>
  <si>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</si>
  <si>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</si>
  <si>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</si>
  <si>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</si>
  <si>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</si>
  <si>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</si>
  <si>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</si>
  <si>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</si>
  <si>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</si>
  <si>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</si>
  <si>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</si>
  <si>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</si>
  <si>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</si>
  <si>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</si>
  <si>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</si>
  <si>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</si>
  <si>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</si>
  <si>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</si>
  <si>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</si>
  <si>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Support Veterans Through the Virginia Military Survivors and Dependent Education Program</t>
  </si>
  <si>
    <t>Enrollment management</t>
  </si>
  <si>
    <t>Request state general funds to address the increased cost of the Virginia Military Survivors and Dependents Education Program (VMSDEP) waivers, as the number of participants continues to grow. Reference E1.</t>
  </si>
  <si>
    <t>OTHER (Operation &amp; Maintenance)</t>
  </si>
  <si>
    <t>Request six-months of state general funds to meet the increased operating and maintenance expenses resulting from the expansion of Carrier Library. Reference E1.</t>
  </si>
  <si>
    <t>Retain Excellent Employees</t>
  </si>
  <si>
    <t>OTHER (Workforce Retention)</t>
  </si>
  <si>
    <t>Increase Enrollment of Pell -Eligible Students</t>
  </si>
  <si>
    <t>Financial Aid</t>
  </si>
  <si>
    <t>Produce More Nurses Through New "Fast Flex" BSN Program</t>
  </si>
  <si>
    <t>Degree Pathways</t>
  </si>
  <si>
    <t>Request state general funds to grow the university's number of nursing graduates by launching a new non-traditional Bachelor of Science in Nursing (BSN) program while maintaining our existing traditional four-year BSN program. Reference E1.</t>
  </si>
  <si>
    <t>Create a New Partnership School Program (Lab School w/RCPS)</t>
  </si>
  <si>
    <t>Grow Your Own: Licensing Paraprofessionals with Degrees</t>
  </si>
  <si>
    <t>Strengthen Student Access to Internships and Support Local Business</t>
  </si>
  <si>
    <t>Career Readiness &amp; Placement</t>
  </si>
  <si>
    <t>Curriculum</t>
  </si>
  <si>
    <t>Support Student and Employee Mental Health</t>
  </si>
  <si>
    <t>OTHER (Mental Health)</t>
  </si>
  <si>
    <t>GF Request Categories</t>
  </si>
  <si>
    <t>Community Engagement</t>
  </si>
  <si>
    <t>Cost efficiency</t>
  </si>
  <si>
    <t>Economic Development</t>
  </si>
  <si>
    <t>Education Innovation / Online Learning</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</si>
  <si>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</si>
  <si>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</si>
  <si>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</si>
  <si>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</si>
  <si>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</si>
  <si>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</si>
  <si>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</si>
  <si>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</si>
  <si>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</si>
  <si>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</si>
  <si>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</si>
  <si>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</si>
  <si>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</si>
  <si>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</si>
  <si>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</si>
  <si>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</si>
  <si>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</si>
  <si>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</si>
  <si>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</si>
  <si>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</si>
  <si>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</si>
  <si>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</si>
  <si>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</si>
  <si>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</si>
  <si>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</si>
  <si>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</si>
  <si>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</si>
  <si>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</si>
  <si>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</si>
  <si>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</si>
  <si>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</si>
  <si>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</si>
  <si>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</si>
  <si>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</si>
  <si>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</si>
  <si>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</si>
  <si>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</si>
  <si>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</si>
  <si>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</si>
  <si>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</si>
  <si>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</si>
  <si>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</si>
  <si>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</si>
  <si>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</si>
  <si>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</si>
  <si>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</si>
  <si>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</si>
  <si>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</si>
  <si>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</si>
  <si>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</si>
  <si>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</si>
  <si>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</si>
  <si>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</si>
  <si>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</si>
  <si>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</si>
  <si>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</si>
  <si>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</si>
  <si>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</si>
  <si>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</si>
  <si>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</si>
  <si>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</si>
  <si>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</si>
  <si>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</si>
  <si>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</si>
  <si>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</si>
  <si>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</si>
  <si>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</si>
  <si>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</si>
  <si>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</si>
  <si>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</si>
  <si>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</si>
  <si>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</si>
  <si>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</si>
  <si>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</si>
  <si>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</si>
  <si>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</si>
  <si>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</si>
  <si>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</si>
  <si>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</si>
  <si>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</si>
  <si>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</si>
  <si>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</si>
  <si>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</si>
  <si>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</si>
  <si>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</si>
  <si>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Fund Operations and Maintenance of the Renovated and Expanded Carrier Library</t>
  </si>
  <si>
    <t>Request state general funds to offer increased employee compensation and additional methods to incentivize retention in the university's non-faculty workforce. Reference E1.</t>
  </si>
  <si>
    <t>Support Growing Commonwealth Healthcare Needs with Advanced Degrees: BSN to DNP</t>
  </si>
  <si>
    <t>Request state general funds to expand its current nursing program to offer a direct BSN to DNP option, allowing undergraduate students to transition into a doctoral program and obtain their nurse practitioner advanced practice certification more quickly to help meet the Commonwealth needs for more primary care healthcare workers. Reference E1.</t>
  </si>
  <si>
    <t>Request state general funds to create and staff an on-campus internship center that would examine currently available internships, increase the visibility and opportunities for internships and other work-based learning experiences in the area, and build bridges among economic development and business support, educational institutions, employers and students.   Reference E1.</t>
  </si>
  <si>
    <t>Request state general funds to maintain and grow its existing PhD program in Counseling and Supervision (K-12 School Counselors) and increase the number of mental health professionals and clinicians produced to support community wellness and meet the needs of the Commonwealth. Reference E1.</t>
  </si>
  <si>
    <t>Request state general funds to support its student contract with TimelyCare (currently paid for by the university), increase the number of psychiatry appointments available to students, and expand the service to faculty and staff.  Reference E1.</t>
  </si>
  <si>
    <t>Request state general funds to expand JMU's innovative teacher preparation program, in collaboration with ODU and Longwood,  that moves teachers into classrooms more quickly and at a greatly reduced cost and that will produce up to 300 new licensed teachers per year (after three years).  Reference E1.</t>
  </si>
  <si>
    <t>Towana Moore, Vice President Administration &amp; Finance</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</si>
  <si>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</si>
  <si>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Request state general funds to permanently expand the university's Pell-eligible student body by 40 students annually. Reference E1. This budget request was not submitted to the Department of Planning and Budget.</t>
  </si>
  <si>
    <t>Request state general funds to establish the Lab School for Innovation and Career Exploration, a lab school program that would serve grades 9-12 students in rural Virginia. Reference E1. This budget request was not submitted to the Department of Planning and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</si>
</sst>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sz val="9"/>
      <name val="Arial"/>
      <family val="2"/>
    </font>
    <font>
      <b/>
      <i/>
      <sz val="9"/>
      <name val="Arial"/>
      <family val="2"/>
    </font>
    <font>
      <b/>
      <sz val="9"/>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
      <left style="medium">
        <color indexed="64"/>
      </left>
      <right style="thin">
        <color indexed="64"/>
      </right>
      <top/>
      <bottom/>
      <diagonal/>
    </border>
    <border>
      <left style="thin">
        <color auto="1"/>
      </left>
      <right/>
      <top style="thin">
        <color auto="1"/>
      </top>
      <bottom style="medium">
        <color auto="1"/>
      </bottom>
      <diagonal/>
    </border>
    <border>
      <left/>
      <right style="thin">
        <color auto="1"/>
      </right>
      <top/>
      <bottom style="medium">
        <color auto="1"/>
      </bottom>
      <diagonal/>
    </border>
    <border>
      <left style="medium">
        <color indexed="64"/>
      </left>
      <right style="thin">
        <color auto="1"/>
      </right>
      <top style="thin">
        <color auto="1"/>
      </top>
      <bottom/>
      <diagonal/>
    </border>
    <border>
      <left style="thin">
        <color auto="1"/>
      </left>
      <right style="thin">
        <color auto="1"/>
      </right>
      <top style="medium">
        <color auto="1"/>
      </top>
      <bottom style="double">
        <color auto="1"/>
      </bottom>
      <diagonal/>
    </border>
    <border>
      <left/>
      <right/>
      <top style="double">
        <color auto="1"/>
      </top>
      <bottom style="double">
        <color auto="1"/>
      </bottom>
      <diagonal/>
    </border>
    <border>
      <left style="thin">
        <color auto="1"/>
      </left>
      <right/>
      <top style="double">
        <color auto="1"/>
      </top>
      <bottom style="double">
        <color auto="1"/>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85">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0" fontId="32" fillId="0" borderId="47" xfId="0" applyFont="1" applyBorder="1" applyAlignment="1">
      <alignment horizontal="center" vertical="top"/>
    </xf>
    <xf numFmtId="0" fontId="32" fillId="0" borderId="49" xfId="0" applyFont="1" applyBorder="1" applyAlignment="1">
      <alignment horizontal="center" vertical="top"/>
    </xf>
    <xf numFmtId="0" fontId="14" fillId="2" borderId="0" xfId="0" applyFont="1" applyFill="1"/>
    <xf numFmtId="164" fontId="17" fillId="2" borderId="2" xfId="0" applyNumberFormat="1" applyFont="1" applyFill="1" applyBorder="1" applyAlignment="1">
      <alignment horizontal="right" vertical="center"/>
    </xf>
    <xf numFmtId="164" fontId="17" fillId="0" borderId="51"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4" xfId="1" applyFont="1" applyBorder="1" applyAlignment="1">
      <alignment horizontal="left" vertical="top" wrapText="1"/>
    </xf>
    <xf numFmtId="0" fontId="14" fillId="0" borderId="0" xfId="1" applyFont="1" applyAlignment="1">
      <alignment horizontal="left" vertical="top" wrapText="1"/>
    </xf>
    <xf numFmtId="0" fontId="57" fillId="3" borderId="52"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4"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2" xfId="1" applyFont="1" applyFill="1" applyBorder="1" applyAlignment="1">
      <alignment horizontal="left" vertical="center" wrapText="1"/>
    </xf>
    <xf numFmtId="0" fontId="46" fillId="0" borderId="52" xfId="1" applyFont="1" applyBorder="1" applyAlignment="1">
      <alignment horizontal="left" vertical="center" wrapText="1"/>
    </xf>
    <xf numFmtId="0" fontId="59" fillId="3" borderId="52" xfId="1" applyFont="1" applyFill="1" applyBorder="1" applyAlignment="1">
      <alignment horizontal="left" vertical="center" wrapText="1"/>
    </xf>
    <xf numFmtId="0" fontId="60" fillId="0" borderId="0" xfId="1" applyFont="1" applyAlignment="1">
      <alignment horizontal="left" vertical="center" wrapText="1"/>
    </xf>
    <xf numFmtId="0" fontId="41" fillId="0" borderId="52" xfId="1" applyFont="1" applyBorder="1" applyAlignment="1">
      <alignment horizontal="left" vertical="center" wrapText="1"/>
    </xf>
    <xf numFmtId="0" fontId="57" fillId="7" borderId="52" xfId="1" applyFont="1" applyFill="1" applyBorder="1" applyAlignment="1">
      <alignment horizontal="left" vertical="center" wrapText="1"/>
    </xf>
    <xf numFmtId="0" fontId="41" fillId="7" borderId="54" xfId="1" applyFont="1" applyFill="1" applyBorder="1" applyAlignment="1">
      <alignment horizontal="left" vertical="center" wrapText="1"/>
    </xf>
    <xf numFmtId="0" fontId="61" fillId="3" borderId="52" xfId="1" applyFont="1" applyFill="1" applyBorder="1" applyAlignment="1">
      <alignment horizontal="left" vertical="center" wrapText="1"/>
    </xf>
    <xf numFmtId="0" fontId="62" fillId="0" borderId="54" xfId="1" applyFont="1" applyBorder="1" applyAlignment="1">
      <alignment horizontal="left" vertical="center" wrapText="1"/>
    </xf>
    <xf numFmtId="0" fontId="58" fillId="0" borderId="0" xfId="1" applyFont="1" applyAlignment="1">
      <alignment horizontal="left" vertical="center" wrapText="1"/>
    </xf>
    <xf numFmtId="0" fontId="58" fillId="0" borderId="54" xfId="1" applyFont="1" applyBorder="1" applyAlignment="1">
      <alignment horizontal="left" vertical="center" wrapText="1"/>
    </xf>
    <xf numFmtId="0" fontId="14" fillId="0" borderId="54" xfId="1" applyFont="1" applyBorder="1" applyAlignment="1">
      <alignment horizontal="left" vertical="top" wrapText="1"/>
    </xf>
    <xf numFmtId="0" fontId="12" fillId="0" borderId="1" xfId="0" applyFont="1" applyBorder="1"/>
    <xf numFmtId="165" fontId="12" fillId="3" borderId="52"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17" fillId="6" borderId="0" xfId="0" applyFont="1" applyFill="1" applyAlignment="1">
      <alignment wrapText="1"/>
    </xf>
    <xf numFmtId="0" fontId="12" fillId="6" borderId="0" xfId="0" applyFont="1" applyFill="1" applyAlignment="1">
      <alignment vertical="center"/>
    </xf>
    <xf numFmtId="0" fontId="14" fillId="0" borderId="58" xfId="1" applyFont="1" applyBorder="1" applyAlignment="1">
      <alignment horizontal="left" vertical="top" wrapText="1"/>
    </xf>
    <xf numFmtId="0" fontId="11" fillId="2" borderId="52" xfId="1" applyFont="1" applyFill="1" applyBorder="1" applyAlignment="1">
      <alignment horizontal="center"/>
    </xf>
    <xf numFmtId="0" fontId="11" fillId="2" borderId="52" xfId="1" applyFont="1" applyFill="1" applyBorder="1" applyAlignment="1">
      <alignment horizontal="center" vertical="center" wrapText="1"/>
    </xf>
    <xf numFmtId="0" fontId="23" fillId="0" borderId="52" xfId="1" applyFont="1" applyBorder="1"/>
    <xf numFmtId="0" fontId="12" fillId="0" borderId="52" xfId="1" applyBorder="1" applyAlignment="1">
      <alignment horizontal="left" indent="1"/>
    </xf>
    <xf numFmtId="164" fontId="12" fillId="0" borderId="52" xfId="1" applyNumberFormat="1" applyBorder="1" applyProtection="1">
      <protection locked="0"/>
    </xf>
    <xf numFmtId="0" fontId="12" fillId="0" borderId="52" xfId="1" applyBorder="1"/>
    <xf numFmtId="164" fontId="12" fillId="2" borderId="52" xfId="1" applyNumberFormat="1" applyFill="1" applyBorder="1" applyProtection="1">
      <protection locked="0"/>
    </xf>
    <xf numFmtId="0" fontId="11" fillId="0" borderId="52" xfId="1" applyFont="1" applyBorder="1"/>
    <xf numFmtId="164" fontId="17" fillId="2" borderId="52" xfId="0" applyNumberFormat="1" applyFont="1" applyFill="1" applyBorder="1" applyAlignment="1">
      <alignment horizontal="right" vertical="center"/>
    </xf>
    <xf numFmtId="164" fontId="12" fillId="6" borderId="52" xfId="0" applyNumberFormat="1" applyFont="1" applyFill="1" applyBorder="1" applyAlignment="1" applyProtection="1">
      <alignment horizontal="right" vertical="center"/>
      <protection locked="0"/>
    </xf>
    <xf numFmtId="164" fontId="12" fillId="2" borderId="52" xfId="0" applyNumberFormat="1" applyFont="1" applyFill="1" applyBorder="1" applyAlignment="1" applyProtection="1">
      <alignment horizontal="right" vertical="center"/>
      <protection locked="0"/>
    </xf>
    <xf numFmtId="164" fontId="12" fillId="4" borderId="52" xfId="0" applyNumberFormat="1" applyFont="1" applyFill="1" applyBorder="1" applyAlignment="1" applyProtection="1">
      <alignment horizontal="right" vertical="center"/>
      <protection locked="0"/>
    </xf>
    <xf numFmtId="165" fontId="12" fillId="2" borderId="60" xfId="1" applyNumberFormat="1" applyFill="1" applyBorder="1" applyAlignment="1" applyProtection="1">
      <alignment horizontal="right"/>
      <protection locked="0"/>
    </xf>
    <xf numFmtId="165" fontId="12" fillId="2" borderId="61"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4" xfId="0" applyBorder="1"/>
    <xf numFmtId="164" fontId="17" fillId="2" borderId="3" xfId="0" applyNumberFormat="1" applyFont="1" applyFill="1" applyBorder="1" applyAlignment="1">
      <alignment horizontal="right" wrapText="1"/>
    </xf>
    <xf numFmtId="164" fontId="17" fillId="0" borderId="59" xfId="0" applyNumberFormat="1" applyFont="1" applyBorder="1" applyAlignment="1">
      <alignment horizontal="right" wrapText="1"/>
    </xf>
    <xf numFmtId="164" fontId="17" fillId="0" borderId="53"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1" xfId="83" applyFont="1" applyFill="1" applyBorder="1" applyAlignment="1">
      <alignment horizontal="right"/>
    </xf>
    <xf numFmtId="0" fontId="12" fillId="2" borderId="52" xfId="1" applyFill="1" applyBorder="1"/>
    <xf numFmtId="0" fontId="19" fillId="2" borderId="52"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5"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57"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4"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2" xfId="83" applyNumberFormat="1" applyFont="1" applyFill="1" applyBorder="1" applyAlignment="1">
      <alignment horizontal="center"/>
    </xf>
    <xf numFmtId="165" fontId="0" fillId="2" borderId="61"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2" xfId="1" applyFill="1" applyBorder="1"/>
    <xf numFmtId="164" fontId="12" fillId="8" borderId="52"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2" xfId="0" applyFill="1" applyBorder="1"/>
    <xf numFmtId="0" fontId="0" fillId="6" borderId="56"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7" fillId="2" borderId="59" xfId="0" applyFont="1" applyFill="1" applyBorder="1" applyAlignment="1">
      <alignment horizontal="center" wrapText="1"/>
    </xf>
    <xf numFmtId="0" fontId="17" fillId="2" borderId="60"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5"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164" fontId="13" fillId="2" borderId="54" xfId="1" applyNumberFormat="1" applyFont="1" applyFill="1" applyBorder="1" applyAlignment="1" applyProtection="1">
      <alignment vertical="center"/>
      <protection locked="0"/>
    </xf>
    <xf numFmtId="0" fontId="30" fillId="2" borderId="52" xfId="0" applyFont="1" applyFill="1" applyBorder="1" applyAlignment="1">
      <alignment horizontal="center" vertical="center" wrapText="1"/>
    </xf>
    <xf numFmtId="164" fontId="17" fillId="9" borderId="53"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54"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2" xfId="0" applyFont="1" applyFill="1" applyBorder="1" applyAlignment="1">
      <alignment vertical="center"/>
    </xf>
    <xf numFmtId="0" fontId="12" fillId="6" borderId="53" xfId="0" applyFont="1" applyFill="1" applyBorder="1" applyAlignment="1">
      <alignment vertical="center"/>
    </xf>
    <xf numFmtId="0" fontId="12" fillId="9" borderId="54"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53" fillId="10" borderId="56" xfId="0" applyFont="1" applyFill="1" applyBorder="1" applyAlignment="1" applyProtection="1">
      <alignment horizontal="center" vertical="center" wrapText="1"/>
      <protection locked="0"/>
    </xf>
    <xf numFmtId="0" fontId="53" fillId="10" borderId="56"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5"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6" xfId="0" applyFont="1" applyFill="1" applyBorder="1"/>
    <xf numFmtId="9" fontId="0" fillId="6" borderId="55" xfId="83" applyFont="1" applyFill="1" applyBorder="1"/>
    <xf numFmtId="9" fontId="0" fillId="6" borderId="11" xfId="83" applyFont="1" applyFill="1" applyBorder="1"/>
    <xf numFmtId="166" fontId="0" fillId="9" borderId="58" xfId="138" applyNumberFormat="1" applyFont="1" applyFill="1" applyBorder="1"/>
    <xf numFmtId="9" fontId="0" fillId="3" borderId="58" xfId="83" applyFont="1" applyFill="1" applyBorder="1" applyAlignment="1">
      <alignment horizontal="right"/>
    </xf>
    <xf numFmtId="166" fontId="12" fillId="9" borderId="62" xfId="138" applyNumberFormat="1" applyFont="1" applyFill="1" applyBorder="1" applyAlignment="1">
      <alignment horizontal="center"/>
    </xf>
    <xf numFmtId="166" fontId="12" fillId="9" borderId="62" xfId="138" applyNumberFormat="1" applyFont="1" applyFill="1" applyBorder="1" applyAlignment="1">
      <alignment horizontal="center" vertical="center"/>
    </xf>
    <xf numFmtId="9" fontId="0" fillId="3" borderId="62" xfId="83" applyFont="1" applyFill="1" applyBorder="1" applyAlignment="1">
      <alignment horizontal="right"/>
    </xf>
    <xf numFmtId="166" fontId="0" fillId="9" borderId="62"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2" xfId="6" applyNumberFormat="1" applyFont="1" applyFill="1" applyBorder="1" applyAlignment="1">
      <alignment horizontal="right"/>
    </xf>
    <xf numFmtId="167" fontId="0" fillId="3" borderId="62" xfId="6" applyNumberFormat="1" applyFont="1" applyFill="1" applyBorder="1" applyAlignment="1">
      <alignment horizontal="right"/>
    </xf>
    <xf numFmtId="0" fontId="26" fillId="6" borderId="59" xfId="0" applyFont="1" applyFill="1" applyBorder="1" applyAlignment="1">
      <alignment vertical="center"/>
    </xf>
    <xf numFmtId="0" fontId="26" fillId="6" borderId="58" xfId="0" applyFont="1" applyFill="1" applyBorder="1" applyAlignment="1">
      <alignment vertical="center"/>
    </xf>
    <xf numFmtId="0" fontId="12" fillId="6" borderId="58" xfId="0" applyFont="1" applyFill="1" applyBorder="1"/>
    <xf numFmtId="0" fontId="0" fillId="6" borderId="58" xfId="0" applyFill="1" applyBorder="1"/>
    <xf numFmtId="0" fontId="0" fillId="6" borderId="60" xfId="0" applyFill="1" applyBorder="1"/>
    <xf numFmtId="0" fontId="0" fillId="6" borderId="61" xfId="0" applyFill="1" applyBorder="1"/>
    <xf numFmtId="0" fontId="0" fillId="6" borderId="53" xfId="0" applyFill="1" applyBorder="1"/>
    <xf numFmtId="0" fontId="0" fillId="6" borderId="28" xfId="0" applyFill="1" applyBorder="1"/>
    <xf numFmtId="0" fontId="0" fillId="6" borderId="27" xfId="0" applyFill="1" applyBorder="1"/>
    <xf numFmtId="0" fontId="11" fillId="10" borderId="65" xfId="0" applyFont="1" applyFill="1" applyBorder="1"/>
    <xf numFmtId="0" fontId="0" fillId="10" borderId="69" xfId="0" applyFill="1" applyBorder="1"/>
    <xf numFmtId="0" fontId="53" fillId="2" borderId="69" xfId="0" applyFont="1" applyFill="1" applyBorder="1" applyAlignment="1" applyProtection="1">
      <alignment horizontal="center" vertical="center" wrapText="1"/>
      <protection locked="0"/>
    </xf>
    <xf numFmtId="0" fontId="53" fillId="2" borderId="69" xfId="0" applyFont="1" applyFill="1" applyBorder="1" applyAlignment="1">
      <alignment horizontal="center" vertical="center" wrapText="1"/>
    </xf>
    <xf numFmtId="0" fontId="14" fillId="6" borderId="52"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1"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6"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0" fillId="3" borderId="38" xfId="6" applyFont="1" applyFill="1" applyBorder="1" applyAlignment="1">
      <alignment horizontal="right"/>
    </xf>
    <xf numFmtId="9" fontId="0" fillId="3" borderId="66" xfId="6" applyFont="1" applyFill="1" applyBorder="1" applyAlignment="1">
      <alignment horizontal="right"/>
    </xf>
    <xf numFmtId="9" fontId="0" fillId="3" borderId="26" xfId="6" applyFont="1" applyFill="1" applyBorder="1" applyAlignment="1">
      <alignment horizontal="right"/>
    </xf>
    <xf numFmtId="9" fontId="0" fillId="10" borderId="66" xfId="6" applyFont="1" applyFill="1" applyBorder="1" applyAlignment="1">
      <alignment horizontal="right"/>
    </xf>
    <xf numFmtId="9" fontId="0" fillId="10" borderId="9" xfId="6" applyFont="1" applyFill="1" applyBorder="1" applyAlignment="1">
      <alignment horizontal="right"/>
    </xf>
    <xf numFmtId="0" fontId="0" fillId="10" borderId="55" xfId="0" applyFill="1" applyBorder="1"/>
    <xf numFmtId="9" fontId="0" fillId="3" borderId="9" xfId="6" applyFont="1" applyFill="1" applyBorder="1" applyAlignment="1">
      <alignment horizontal="right"/>
    </xf>
    <xf numFmtId="0" fontId="0" fillId="6" borderId="9" xfId="0" applyFill="1" applyBorder="1"/>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6" xfId="0" applyFill="1" applyBorder="1"/>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0" fontId="24" fillId="0" borderId="54" xfId="1" applyFont="1" applyBorder="1" applyAlignment="1">
      <alignment horizontal="left" vertical="top" wrapText="1"/>
    </xf>
    <xf numFmtId="0" fontId="13" fillId="0" borderId="54"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2" xfId="1" applyFont="1" applyBorder="1" applyAlignment="1">
      <alignment horizontal="left" vertical="top" wrapText="1"/>
    </xf>
    <xf numFmtId="0" fontId="69" fillId="0" borderId="1" xfId="1" applyFont="1" applyBorder="1" applyAlignment="1">
      <alignment horizontal="left" vertical="top" wrapText="1"/>
    </xf>
    <xf numFmtId="0" fontId="41" fillId="0" borderId="54" xfId="1" applyFont="1" applyBorder="1" applyAlignment="1">
      <alignment horizontal="left" vertical="top" wrapText="1"/>
    </xf>
    <xf numFmtId="0" fontId="41" fillId="0" borderId="2" xfId="1" applyFont="1" applyBorder="1" applyAlignment="1">
      <alignment horizontal="left" vertical="top" wrapText="1"/>
    </xf>
    <xf numFmtId="0" fontId="17" fillId="0" borderId="52"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2" xfId="0" applyFont="1" applyBorder="1"/>
    <xf numFmtId="165" fontId="14" fillId="0" borderId="52"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2"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5" fontId="13" fillId="6" borderId="7" xfId="83" applyNumberFormat="1" applyFont="1" applyFill="1" applyBorder="1" applyAlignment="1" applyProtection="1">
      <alignment horizontal="right" vertical="center"/>
      <protection locked="0"/>
    </xf>
    <xf numFmtId="9" fontId="11" fillId="0" borderId="4" xfId="83" applyFont="1" applyFill="1" applyBorder="1" applyAlignment="1">
      <alignment horizontal="center" vertical="center" wrapText="1"/>
    </xf>
    <xf numFmtId="0" fontId="12" fillId="6" borderId="53" xfId="0" applyFont="1" applyFill="1" applyBorder="1" applyAlignment="1">
      <alignment wrapText="1"/>
    </xf>
    <xf numFmtId="0" fontId="11" fillId="10" borderId="18" xfId="0" applyFont="1" applyFill="1" applyBorder="1" applyAlignment="1">
      <alignment wrapText="1"/>
    </xf>
    <xf numFmtId="0" fontId="11" fillId="10" borderId="56" xfId="1" applyFont="1" applyFill="1" applyBorder="1" applyAlignment="1">
      <alignment horizontal="center" vertical="center" wrapText="1"/>
    </xf>
    <xf numFmtId="9" fontId="11" fillId="10" borderId="56" xfId="83" applyFont="1" applyFill="1" applyBorder="1" applyAlignment="1">
      <alignment horizontal="center" vertical="center" wrapText="1"/>
    </xf>
    <xf numFmtId="9" fontId="11" fillId="10" borderId="18" xfId="6" applyFont="1" applyFill="1" applyBorder="1" applyAlignment="1">
      <alignment horizontal="center" vertical="center" wrapText="1"/>
    </xf>
    <xf numFmtId="9" fontId="11" fillId="10" borderId="68" xfId="6" applyFont="1" applyFill="1" applyBorder="1" applyAlignment="1">
      <alignment horizontal="center" vertical="center" wrapText="1"/>
    </xf>
    <xf numFmtId="0" fontId="12" fillId="6" borderId="61" xfId="0" applyFont="1" applyFill="1" applyBorder="1" applyAlignment="1">
      <alignment wrapText="1"/>
    </xf>
    <xf numFmtId="0" fontId="12" fillId="0" borderId="0" xfId="0" applyFont="1" applyAlignment="1">
      <alignment wrapText="1"/>
    </xf>
    <xf numFmtId="0" fontId="0" fillId="6" borderId="53" xfId="0" applyFill="1" applyBorder="1" applyAlignment="1">
      <alignment wrapText="1"/>
    </xf>
    <xf numFmtId="0" fontId="11" fillId="3" borderId="17" xfId="0" applyFont="1" applyFill="1" applyBorder="1" applyAlignment="1">
      <alignment wrapText="1"/>
    </xf>
    <xf numFmtId="165" fontId="11" fillId="3" borderId="0" xfId="1" applyNumberFormat="1" applyFont="1" applyFill="1" applyAlignment="1">
      <alignment horizontal="center" vertical="center" wrapText="1"/>
    </xf>
    <xf numFmtId="167" fontId="0" fillId="3" borderId="0" xfId="6" applyNumberFormat="1" applyFont="1" applyFill="1" applyBorder="1" applyAlignment="1">
      <alignment horizontal="right" wrapText="1"/>
    </xf>
    <xf numFmtId="167" fontId="0" fillId="3" borderId="17" xfId="6" applyNumberFormat="1" applyFont="1" applyFill="1" applyBorder="1" applyAlignment="1">
      <alignment horizontal="right" wrapText="1"/>
    </xf>
    <xf numFmtId="9" fontId="0" fillId="3" borderId="11" xfId="6" applyFont="1" applyFill="1" applyBorder="1" applyAlignment="1">
      <alignment horizontal="right" wrapText="1"/>
    </xf>
    <xf numFmtId="0" fontId="0" fillId="6" borderId="61" xfId="0" applyFill="1" applyBorder="1" applyAlignment="1">
      <alignment wrapText="1"/>
    </xf>
    <xf numFmtId="0" fontId="0" fillId="6" borderId="0" xfId="0" applyFill="1" applyAlignment="1">
      <alignment wrapText="1"/>
    </xf>
    <xf numFmtId="0" fontId="12" fillId="6" borderId="65" xfId="0" applyFont="1" applyFill="1" applyBorder="1" applyAlignment="1">
      <alignment wrapText="1"/>
    </xf>
    <xf numFmtId="0" fontId="11" fillId="2" borderId="69" xfId="1" applyFont="1" applyFill="1" applyBorder="1" applyAlignment="1">
      <alignment horizontal="center" vertical="center" wrapText="1"/>
    </xf>
    <xf numFmtId="9" fontId="11" fillId="2" borderId="69" xfId="83" applyFont="1" applyFill="1" applyBorder="1" applyAlignment="1">
      <alignment horizontal="center" vertical="center" wrapText="1"/>
    </xf>
    <xf numFmtId="9" fontId="11" fillId="2" borderId="65" xfId="6" applyFont="1" applyFill="1" applyBorder="1" applyAlignment="1">
      <alignment horizontal="center" vertical="center" wrapText="1"/>
    </xf>
    <xf numFmtId="0" fontId="0" fillId="0" borderId="0" xfId="0" applyAlignment="1">
      <alignment wrapText="1"/>
    </xf>
    <xf numFmtId="0" fontId="0" fillId="6" borderId="17" xfId="0" applyFill="1" applyBorder="1" applyAlignment="1">
      <alignment wrapText="1"/>
    </xf>
    <xf numFmtId="0" fontId="11" fillId="2" borderId="0" xfId="1" applyFont="1" applyFill="1" applyAlignment="1">
      <alignment horizontal="center" vertical="center" wrapText="1"/>
    </xf>
    <xf numFmtId="9" fontId="11" fillId="2" borderId="0" xfId="6" applyFont="1" applyFill="1" applyBorder="1" applyAlignment="1">
      <alignment horizontal="center" vertical="center" wrapText="1"/>
    </xf>
    <xf numFmtId="9" fontId="11" fillId="2" borderId="18" xfId="6" applyFont="1" applyFill="1" applyBorder="1" applyAlignment="1">
      <alignment horizontal="center" vertical="center" wrapText="1"/>
    </xf>
    <xf numFmtId="9" fontId="11" fillId="2" borderId="55" xfId="6" applyFont="1" applyFill="1" applyBorder="1" applyAlignment="1">
      <alignment horizontal="center" vertical="center" wrapText="1"/>
    </xf>
    <xf numFmtId="0" fontId="65" fillId="6" borderId="0" xfId="0" applyFont="1" applyFill="1"/>
    <xf numFmtId="0" fontId="66" fillId="6" borderId="0" xfId="0" applyFont="1" applyFill="1"/>
    <xf numFmtId="0" fontId="67" fillId="6" borderId="0" xfId="0" applyFont="1" applyFill="1" applyAlignment="1">
      <alignment vertical="center" wrapText="1"/>
    </xf>
    <xf numFmtId="0" fontId="17" fillId="6" borderId="0" xfId="0" applyFont="1" applyFill="1"/>
    <xf numFmtId="165" fontId="12" fillId="2" borderId="66" xfId="1" applyNumberFormat="1" applyFill="1" applyBorder="1" applyAlignment="1" applyProtection="1">
      <alignment horizontal="right"/>
      <protection locked="0"/>
    </xf>
    <xf numFmtId="165" fontId="12" fillId="2" borderId="11" xfId="1" applyNumberFormat="1" applyFill="1" applyBorder="1" applyAlignment="1" applyProtection="1">
      <alignment horizontal="right"/>
      <protection locked="0"/>
    </xf>
    <xf numFmtId="165" fontId="12" fillId="2" borderId="26" xfId="1" applyNumberFormat="1" applyFill="1" applyBorder="1" applyAlignment="1" applyProtection="1">
      <alignment horizontal="right"/>
      <protection locked="0"/>
    </xf>
    <xf numFmtId="164" fontId="17" fillId="2" borderId="71" xfId="0" applyNumberFormat="1" applyFont="1" applyFill="1" applyBorder="1" applyAlignment="1">
      <alignment horizontal="right" wrapText="1"/>
    </xf>
    <xf numFmtId="165" fontId="12" fillId="2" borderId="72" xfId="1" applyNumberFormat="1" applyFill="1" applyBorder="1" applyAlignment="1" applyProtection="1">
      <alignment horizontal="right"/>
      <protection locked="0"/>
    </xf>
    <xf numFmtId="165" fontId="12" fillId="2" borderId="9" xfId="1" applyNumberFormat="1" applyFill="1" applyBorder="1" applyAlignment="1" applyProtection="1">
      <alignment horizontal="right"/>
      <protection locked="0"/>
    </xf>
    <xf numFmtId="0" fontId="0" fillId="0" borderId="18" xfId="0" applyBorder="1"/>
    <xf numFmtId="0" fontId="0" fillId="0" borderId="17" xfId="0" applyBorder="1"/>
    <xf numFmtId="0" fontId="0" fillId="0" borderId="21" xfId="0" applyBorder="1"/>
    <xf numFmtId="0" fontId="0" fillId="2" borderId="23" xfId="0" applyFill="1" applyBorder="1"/>
    <xf numFmtId="0" fontId="0" fillId="2" borderId="57" xfId="0" applyFill="1" applyBorder="1"/>
    <xf numFmtId="0" fontId="17" fillId="2" borderId="73" xfId="0" applyFont="1" applyFill="1" applyBorder="1" applyAlignment="1">
      <alignment horizontal="center" wrapText="1"/>
    </xf>
    <xf numFmtId="0" fontId="17" fillId="2" borderId="70" xfId="0" applyFont="1" applyFill="1" applyBorder="1" applyAlignment="1">
      <alignment horizontal="center" wrapText="1"/>
    </xf>
    <xf numFmtId="0" fontId="17" fillId="2" borderId="66" xfId="0" applyFont="1" applyFill="1" applyBorder="1" applyAlignment="1">
      <alignment horizontal="center" wrapText="1"/>
    </xf>
    <xf numFmtId="164" fontId="17" fillId="0" borderId="73" xfId="0" applyNumberFormat="1" applyFont="1" applyBorder="1" applyAlignment="1">
      <alignment horizontal="right" wrapText="1"/>
    </xf>
    <xf numFmtId="164" fontId="17" fillId="0" borderId="70" xfId="0" applyNumberFormat="1" applyFont="1" applyBorder="1" applyAlignment="1">
      <alignment horizontal="right" wrapText="1"/>
    </xf>
    <xf numFmtId="164" fontId="17" fillId="0" borderId="40" xfId="0" applyNumberFormat="1" applyFont="1" applyBorder="1" applyAlignment="1">
      <alignment horizontal="right" wrapText="1"/>
    </xf>
    <xf numFmtId="164" fontId="17" fillId="2" borderId="32" xfId="0" applyNumberFormat="1" applyFont="1" applyFill="1" applyBorder="1" applyAlignment="1">
      <alignment horizontal="right" wrapText="1"/>
    </xf>
    <xf numFmtId="164" fontId="17" fillId="2" borderId="34" xfId="0" applyNumberFormat="1" applyFont="1" applyFill="1" applyBorder="1" applyAlignment="1">
      <alignment horizontal="right" wrapText="1"/>
    </xf>
    <xf numFmtId="0" fontId="28" fillId="0" borderId="0" xfId="12" applyFont="1" applyAlignment="1">
      <alignment horizontal="left"/>
    </xf>
    <xf numFmtId="164" fontId="17" fillId="2" borderId="28" xfId="0" applyNumberFormat="1" applyFont="1" applyFill="1" applyBorder="1" applyAlignment="1">
      <alignment horizontal="right" vertical="center"/>
    </xf>
    <xf numFmtId="164" fontId="17" fillId="2" borderId="49"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0" borderId="2" xfId="0" applyNumberFormat="1" applyFont="1" applyBorder="1" applyAlignment="1">
      <alignment horizontal="right" vertical="center" wrapText="1"/>
    </xf>
    <xf numFmtId="164" fontId="17" fillId="0" borderId="74" xfId="0" applyNumberFormat="1" applyFont="1" applyBorder="1" applyAlignment="1">
      <alignment horizontal="right" vertical="center" wrapText="1"/>
    </xf>
    <xf numFmtId="164" fontId="17" fillId="6" borderId="51" xfId="0" applyNumberFormat="1" applyFont="1" applyFill="1" applyBorder="1" applyAlignment="1">
      <alignment horizontal="right" vertical="center" wrapText="1"/>
    </xf>
    <xf numFmtId="0" fontId="29" fillId="0" borderId="74" xfId="0" applyFont="1" applyBorder="1" applyAlignment="1">
      <alignment horizontal="center" vertical="center" wrapText="1"/>
    </xf>
    <xf numFmtId="0" fontId="41" fillId="0" borderId="75" xfId="0" applyFont="1" applyBorder="1" applyAlignment="1">
      <alignment horizontal="center" vertical="center"/>
    </xf>
    <xf numFmtId="0" fontId="29" fillId="0" borderId="76" xfId="0" applyFont="1" applyBorder="1" applyAlignment="1">
      <alignment horizontal="center" vertical="center" wrapText="1"/>
    </xf>
    <xf numFmtId="0" fontId="29" fillId="0" borderId="53" xfId="0" applyFont="1" applyBorder="1" applyAlignment="1">
      <alignment horizontal="center" vertical="center" wrapText="1"/>
    </xf>
    <xf numFmtId="0" fontId="41" fillId="0" borderId="49" xfId="0" applyFont="1" applyBorder="1" applyAlignment="1">
      <alignment horizontal="center" vertical="center"/>
    </xf>
    <xf numFmtId="0" fontId="29" fillId="0" borderId="74" xfId="0" applyFont="1" applyBorder="1" applyAlignment="1">
      <alignment vertical="center" wrapText="1"/>
    </xf>
    <xf numFmtId="0" fontId="29" fillId="0" borderId="51" xfId="0" applyFont="1" applyBorder="1" applyAlignment="1">
      <alignment vertical="center" wrapText="1"/>
    </xf>
    <xf numFmtId="0" fontId="29" fillId="0" borderId="54" xfId="0" applyFont="1" applyBorder="1" applyAlignment="1">
      <alignment vertical="center" wrapText="1"/>
    </xf>
    <xf numFmtId="0" fontId="29" fillId="0" borderId="50" xfId="0" applyFont="1" applyBorder="1" applyAlignment="1">
      <alignment vertical="center" wrapText="1"/>
    </xf>
    <xf numFmtId="0" fontId="13" fillId="6" borderId="52" xfId="1" applyFont="1" applyFill="1" applyBorder="1" applyAlignment="1" applyProtection="1">
      <alignment vertical="center"/>
      <protection locked="0"/>
    </xf>
    <xf numFmtId="0" fontId="13" fillId="6" borderId="52" xfId="1" applyFont="1" applyFill="1" applyBorder="1" applyAlignment="1" applyProtection="1">
      <alignment vertical="center" wrapText="1"/>
      <protection locked="0"/>
    </xf>
    <xf numFmtId="0" fontId="13" fillId="3" borderId="52" xfId="1" applyFont="1" applyFill="1" applyBorder="1" applyAlignment="1" applyProtection="1">
      <alignment vertical="center"/>
      <protection locked="0"/>
    </xf>
    <xf numFmtId="0" fontId="13" fillId="3" borderId="52" xfId="1" applyFont="1" applyFill="1" applyBorder="1" applyAlignment="1" applyProtection="1">
      <alignment vertical="center" wrapText="1"/>
      <protection locked="0"/>
    </xf>
    <xf numFmtId="0" fontId="30" fillId="3" borderId="52" xfId="0" applyFont="1" applyFill="1" applyBorder="1" applyAlignment="1">
      <alignment horizontal="center" vertical="center" wrapText="1"/>
    </xf>
    <xf numFmtId="0" fontId="12" fillId="3" borderId="52" xfId="0" applyFont="1" applyFill="1" applyBorder="1" applyAlignment="1">
      <alignment vertical="center"/>
    </xf>
    <xf numFmtId="0" fontId="12" fillId="6" borderId="52" xfId="0" applyFont="1" applyFill="1" applyBorder="1" applyAlignment="1">
      <alignment vertical="center"/>
    </xf>
    <xf numFmtId="0" fontId="14" fillId="6" borderId="52" xfId="1" applyFont="1" applyFill="1" applyBorder="1" applyAlignment="1" applyProtection="1">
      <alignment vertical="center" wrapText="1"/>
      <protection locked="0"/>
    </xf>
    <xf numFmtId="164" fontId="13" fillId="2" borderId="52" xfId="1" applyNumberFormat="1" applyFont="1" applyFill="1" applyBorder="1" applyAlignment="1" applyProtection="1">
      <alignment vertical="center"/>
      <protection locked="0"/>
    </xf>
    <xf numFmtId="164" fontId="17" fillId="9" borderId="52" xfId="0" applyNumberFormat="1" applyFont="1" applyFill="1" applyBorder="1" applyAlignment="1" applyProtection="1">
      <alignment horizontal="right" vertical="center" wrapText="1"/>
      <protection locked="0"/>
    </xf>
    <xf numFmtId="0" fontId="12" fillId="9" borderId="52" xfId="0" applyFont="1" applyFill="1" applyBorder="1" applyAlignment="1">
      <alignment vertical="center" wrapText="1"/>
    </xf>
    <xf numFmtId="0" fontId="14" fillId="6" borderId="52" xfId="1" applyFont="1" applyFill="1" applyBorder="1" applyAlignment="1" applyProtection="1">
      <alignment horizontal="left" vertical="center" wrapText="1"/>
      <protection locked="0"/>
    </xf>
    <xf numFmtId="0" fontId="12" fillId="9" borderId="52" xfId="0" applyFont="1" applyFill="1" applyBorder="1" applyAlignment="1">
      <alignment vertical="center"/>
    </xf>
    <xf numFmtId="164" fontId="17" fillId="10" borderId="52" xfId="0" applyNumberFormat="1" applyFont="1" applyFill="1" applyBorder="1" applyAlignment="1" applyProtection="1">
      <alignment horizontal="right" vertical="center" wrapText="1"/>
      <protection locked="0"/>
    </xf>
    <xf numFmtId="0" fontId="14" fillId="3" borderId="52" xfId="1" applyFont="1" applyFill="1" applyBorder="1" applyAlignment="1" applyProtection="1">
      <alignment vertical="center" wrapText="1"/>
      <protection locked="0"/>
    </xf>
    <xf numFmtId="164" fontId="13" fillId="3" borderId="52" xfId="1" applyNumberFormat="1" applyFont="1" applyFill="1" applyBorder="1" applyAlignment="1" applyProtection="1">
      <alignment vertical="center"/>
      <protection locked="0"/>
    </xf>
    <xf numFmtId="164" fontId="17" fillId="3" borderId="52" xfId="0" applyNumberFormat="1" applyFont="1" applyFill="1" applyBorder="1" applyAlignment="1" applyProtection="1">
      <alignment horizontal="right" vertical="center" wrapText="1"/>
      <protection locked="0"/>
    </xf>
    <xf numFmtId="0" fontId="75" fillId="6" borderId="0" xfId="0" applyFont="1" applyFill="1" applyAlignment="1">
      <alignment vertical="center"/>
    </xf>
    <xf numFmtId="0" fontId="76" fillId="2" borderId="63" xfId="1" applyFont="1" applyFill="1" applyBorder="1" applyAlignment="1" applyProtection="1">
      <alignment vertical="center"/>
      <protection locked="0"/>
    </xf>
    <xf numFmtId="0" fontId="77" fillId="2" borderId="69" xfId="1" applyFont="1" applyFill="1" applyBorder="1" applyAlignment="1">
      <alignment vertical="center" wrapText="1"/>
    </xf>
    <xf numFmtId="0" fontId="77" fillId="2" borderId="30" xfId="1" applyFont="1" applyFill="1" applyBorder="1" applyAlignment="1">
      <alignment vertical="center"/>
    </xf>
    <xf numFmtId="164" fontId="77" fillId="2" borderId="63" xfId="1" applyNumberFormat="1" applyFont="1" applyFill="1" applyBorder="1" applyAlignment="1">
      <alignment vertical="center"/>
    </xf>
    <xf numFmtId="164" fontId="77" fillId="2" borderId="69" xfId="1" applyNumberFormat="1" applyFont="1" applyFill="1" applyBorder="1" applyAlignment="1">
      <alignment vertical="center"/>
    </xf>
    <xf numFmtId="164" fontId="77" fillId="2" borderId="67" xfId="1" applyNumberFormat="1" applyFont="1" applyFill="1" applyBorder="1" applyAlignment="1">
      <alignment vertical="center"/>
    </xf>
    <xf numFmtId="164" fontId="77" fillId="2" borderId="30" xfId="1" applyNumberFormat="1" applyFont="1" applyFill="1" applyBorder="1" applyAlignment="1">
      <alignment vertical="center"/>
    </xf>
    <xf numFmtId="0" fontId="77" fillId="2" borderId="30" xfId="0" applyFont="1" applyFill="1" applyBorder="1" applyAlignment="1">
      <alignment vertical="center"/>
    </xf>
    <xf numFmtId="0" fontId="32" fillId="0" borderId="47" xfId="0" applyFont="1" applyFill="1" applyBorder="1" applyAlignment="1">
      <alignment horizontal="center" vertical="top"/>
    </xf>
    <xf numFmtId="0" fontId="29" fillId="0" borderId="76" xfId="0" applyFont="1" applyFill="1" applyBorder="1" applyAlignment="1">
      <alignment horizontal="center" vertical="center" wrapText="1"/>
    </xf>
    <xf numFmtId="164" fontId="17" fillId="0" borderId="51" xfId="0" applyNumberFormat="1" applyFont="1" applyFill="1" applyBorder="1" applyAlignment="1">
      <alignment horizontal="right" vertical="center" wrapText="1"/>
    </xf>
    <xf numFmtId="0" fontId="12" fillId="0" borderId="0" xfId="0" applyFont="1" applyFill="1" applyAlignment="1">
      <alignment wrapText="1"/>
    </xf>
    <xf numFmtId="0" fontId="12" fillId="0" borderId="51" xfId="0" applyFont="1" applyBorder="1" applyAlignment="1">
      <alignment vertical="center" wrapText="1"/>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18" xfId="0" applyFont="1" applyFill="1" applyBorder="1" applyAlignment="1">
      <alignment horizontal="center" wrapText="1"/>
    </xf>
    <xf numFmtId="0" fontId="51" fillId="2" borderId="56" xfId="0" applyFont="1" applyFill="1" applyBorder="1" applyAlignment="1">
      <alignment horizontal="center" wrapText="1"/>
    </xf>
    <xf numFmtId="0" fontId="51" fillId="2" borderId="55"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38" xfId="0" applyFont="1" applyFill="1" applyBorder="1" applyAlignment="1">
      <alignment horizont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2"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6" xfId="1" applyFont="1" applyBorder="1" applyAlignment="1">
      <alignment horizontal="center" vertical="center"/>
    </xf>
    <xf numFmtId="0" fontId="11" fillId="0" borderId="55"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6"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57"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52" xfId="12" applyFont="1" applyBorder="1" applyAlignment="1">
      <alignment horizontal="center" vertical="center" wrapText="1"/>
    </xf>
    <xf numFmtId="0" fontId="54" fillId="0" borderId="0" xfId="1" applyFont="1" applyAlignment="1">
      <alignment horizontal="left" vertical="center" wrapText="1"/>
    </xf>
    <xf numFmtId="0" fontId="16" fillId="7" borderId="0" xfId="1" applyFont="1" applyFill="1" applyAlignment="1">
      <alignment horizontal="left" vertical="center" wrapText="1"/>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4" xfId="83" applyNumberFormat="1" applyFont="1" applyFill="1" applyBorder="1" applyAlignment="1">
      <alignment horizontal="center" vertical="center" wrapText="1"/>
    </xf>
    <xf numFmtId="165" fontId="16" fillId="0" borderId="64"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6" xfId="1" applyFont="1" applyBorder="1" applyAlignment="1">
      <alignment horizontal="center"/>
    </xf>
    <xf numFmtId="0" fontId="12" fillId="0" borderId="56"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52"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52" xfId="0" applyFont="1" applyFill="1" applyBorder="1" applyAlignment="1" applyProtection="1">
      <alignment horizontal="center" vertical="center" wrapText="1"/>
      <protection locked="0"/>
    </xf>
    <xf numFmtId="0" fontId="30" fillId="2" borderId="5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3" xfId="0" applyFont="1" applyFill="1" applyBorder="1" applyAlignment="1">
      <alignment horizontal="left" vertical="center"/>
    </xf>
    <xf numFmtId="0" fontId="11" fillId="6" borderId="8" xfId="0" applyFont="1" applyFill="1" applyBorder="1" applyAlignment="1">
      <alignment horizontal="center"/>
    </xf>
    <xf numFmtId="0" fontId="18" fillId="0" borderId="53"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2"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2"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2"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2"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2"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2"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2"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2"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2"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2"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39" builtinId="9" hidden="1"/>
    <cellStyle name="Followed Hyperlink" xfId="64" builtinId="9" hidden="1"/>
    <cellStyle name="Followed Hyperlink" xfId="29" builtinId="9" hidden="1"/>
    <cellStyle name="Followed Hyperlink" xfId="48" builtinId="9" hidden="1"/>
    <cellStyle name="Followed Hyperlink" xfId="24" builtinId="9" hidden="1"/>
    <cellStyle name="Followed Hyperlink" xfId="43" builtinId="9" hidden="1"/>
    <cellStyle name="Followed Hyperlink" xfId="33" builtinId="9" hidden="1"/>
    <cellStyle name="Followed Hyperlink" xfId="23" builtinId="9" hidden="1"/>
    <cellStyle name="Followed Hyperlink" xfId="21" builtinId="9" hidden="1"/>
    <cellStyle name="Followed Hyperlink" xfId="26" builtinId="9" hidden="1"/>
    <cellStyle name="Followed Hyperlink" xfId="62" builtinId="9" hidden="1"/>
    <cellStyle name="Followed Hyperlink" xfId="22" builtinId="9" hidden="1"/>
    <cellStyle name="Followed Hyperlink" xfId="19" builtinId="9" hidden="1"/>
    <cellStyle name="Followed Hyperlink" xfId="78" builtinId="9" hidden="1"/>
    <cellStyle name="Followed Hyperlink" xfId="36" builtinId="9" hidden="1"/>
    <cellStyle name="Followed Hyperlink" xfId="50" builtinId="9" hidden="1"/>
    <cellStyle name="Followed Hyperlink" xfId="73" builtinId="9" hidden="1"/>
    <cellStyle name="Followed Hyperlink" xfId="77" builtinId="9" hidden="1"/>
    <cellStyle name="Followed Hyperlink" xfId="34" builtinId="9" hidden="1"/>
    <cellStyle name="Followed Hyperlink" xfId="52" builtinId="9" hidden="1"/>
    <cellStyle name="Followed Hyperlink" xfId="35" builtinId="9" hidden="1"/>
    <cellStyle name="Followed Hyperlink" xfId="51" builtinId="9" hidden="1"/>
    <cellStyle name="Followed Hyperlink" xfId="56" builtinId="9" hidden="1"/>
    <cellStyle name="Followed Hyperlink" xfId="31" builtinId="9" hidden="1"/>
    <cellStyle name="Followed Hyperlink" xfId="27" builtinId="9" hidden="1"/>
    <cellStyle name="Followed Hyperlink" xfId="16" builtinId="9" hidden="1"/>
    <cellStyle name="Followed Hyperlink" xfId="46" builtinId="9" hidden="1"/>
    <cellStyle name="Followed Hyperlink" xfId="57" builtinId="9" hidden="1"/>
    <cellStyle name="Followed Hyperlink" xfId="30" builtinId="9" hidden="1"/>
    <cellStyle name="Followed Hyperlink" xfId="45" builtinId="9" hidden="1"/>
    <cellStyle name="Followed Hyperlink" xfId="58" builtinId="9" hidden="1"/>
    <cellStyle name="Followed Hyperlink" xfId="63" builtinId="9" hidden="1"/>
    <cellStyle name="Followed Hyperlink" xfId="61" builtinId="9" hidden="1"/>
    <cellStyle name="Followed Hyperlink" xfId="68" builtinId="9" hidden="1"/>
    <cellStyle name="Followed Hyperlink" xfId="81" builtinId="9" hidden="1"/>
    <cellStyle name="Followed Hyperlink" xfId="54" builtinId="9" hidden="1"/>
    <cellStyle name="Followed Hyperlink" xfId="40" builtinId="9" hidden="1"/>
    <cellStyle name="Followed Hyperlink" xfId="53" builtinId="9" hidden="1"/>
    <cellStyle name="Followed Hyperlink" xfId="15" builtinId="9" hidden="1"/>
    <cellStyle name="Followed Hyperlink" xfId="37" builtinId="9" hidden="1"/>
    <cellStyle name="Followed Hyperlink" xfId="20" builtinId="9" hidden="1"/>
    <cellStyle name="Followed Hyperlink" xfId="28" builtinId="9" hidden="1"/>
    <cellStyle name="Followed Hyperlink" xfId="60" builtinId="9" hidden="1"/>
    <cellStyle name="Followed Hyperlink" xfId="59" builtinId="9" hidden="1"/>
    <cellStyle name="Followed Hyperlink" xfId="82" builtinId="9" hidden="1"/>
    <cellStyle name="Followed Hyperlink" xfId="47" builtinId="9" hidden="1"/>
    <cellStyle name="Followed Hyperlink" xfId="75" builtinId="9" hidden="1"/>
    <cellStyle name="Followed Hyperlink" xfId="79" builtinId="9" hidden="1"/>
    <cellStyle name="Followed Hyperlink" xfId="49" builtinId="9" hidden="1"/>
    <cellStyle name="Followed Hyperlink" xfId="38" builtinId="9" hidden="1"/>
    <cellStyle name="Followed Hyperlink" xfId="42" builtinId="9" hidden="1"/>
    <cellStyle name="Followed Hyperlink" xfId="76" builtinId="9" hidden="1"/>
    <cellStyle name="Followed Hyperlink" xfId="67" builtinId="9" hidden="1"/>
    <cellStyle name="Followed Hyperlink" xfId="32" builtinId="9" hidden="1"/>
    <cellStyle name="Followed Hyperlink" xfId="44" builtinId="9" hidden="1"/>
    <cellStyle name="Followed Hyperlink" xfId="71" builtinId="9" hidden="1"/>
    <cellStyle name="Followed Hyperlink" xfId="69" builtinId="9" hidden="1"/>
    <cellStyle name="Followed Hyperlink" xfId="74" builtinId="9" hidden="1"/>
    <cellStyle name="Followed Hyperlink" xfId="17" builtinId="9" hidden="1"/>
    <cellStyle name="Followed Hyperlink" xfId="70" builtinId="9" hidden="1"/>
    <cellStyle name="Followed Hyperlink" xfId="25" builtinId="9" hidden="1"/>
    <cellStyle name="Followed Hyperlink" xfId="80" builtinId="9" hidden="1"/>
    <cellStyle name="Followed Hyperlink" xfId="41" builtinId="9" hidden="1"/>
    <cellStyle name="Followed Hyperlink" xfId="55" builtinId="9" hidden="1"/>
    <cellStyle name="Followed Hyperlink" xfId="65" builtinId="9" hidden="1"/>
    <cellStyle name="Followed Hyperlink" xfId="72" builtinId="9" hidden="1"/>
    <cellStyle name="Followed Hyperlink" xfId="18" builtinId="9" hidden="1"/>
    <cellStyle name="Followed Hyperlink" xfId="66"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oreth@j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abSelected="1" workbookViewId="0">
      <selection activeCell="A6" sqref="A6"/>
    </sheetView>
  </sheetViews>
  <sheetFormatPr defaultColWidth="164.44140625" defaultRowHeight="15" x14ac:dyDescent="0.25"/>
  <cols>
    <col min="1" max="1" width="170.5546875" style="54" customWidth="1"/>
    <col min="2" max="16384" width="164.44140625" style="54"/>
  </cols>
  <sheetData>
    <row r="1" spans="1:1" ht="21" customHeight="1" x14ac:dyDescent="0.25">
      <c r="A1" s="53" t="s">
        <v>0</v>
      </c>
    </row>
    <row r="2" spans="1:1" ht="21" customHeight="1" x14ac:dyDescent="0.25">
      <c r="A2" s="53" t="s">
        <v>1</v>
      </c>
    </row>
    <row r="3" spans="1:1" ht="21" customHeight="1" x14ac:dyDescent="0.25">
      <c r="A3" s="291" t="s">
        <v>2</v>
      </c>
    </row>
    <row r="4" spans="1:1" ht="16.350000000000001" customHeight="1" x14ac:dyDescent="0.25">
      <c r="A4" s="292"/>
    </row>
    <row r="5" spans="1:1" ht="21" customHeight="1" x14ac:dyDescent="0.25">
      <c r="A5" s="55" t="s">
        <v>3</v>
      </c>
    </row>
    <row r="6" spans="1:1" s="56" customFormat="1" ht="75" customHeight="1" x14ac:dyDescent="0.25">
      <c r="A6" s="65" t="s">
        <v>4</v>
      </c>
    </row>
    <row r="7" spans="1:1" s="57" customFormat="1" ht="21" customHeight="1" x14ac:dyDescent="0.25">
      <c r="A7" s="55" t="s">
        <v>5</v>
      </c>
    </row>
    <row r="8" spans="1:1" s="56" customFormat="1" ht="69.599999999999994" customHeight="1" x14ac:dyDescent="0.25">
      <c r="A8" s="293" t="s">
        <v>6</v>
      </c>
    </row>
    <row r="9" spans="1:1" s="56" customFormat="1" ht="54.6" customHeight="1" thickBot="1" x14ac:dyDescent="0.3">
      <c r="A9" s="58" t="s">
        <v>7</v>
      </c>
    </row>
    <row r="10" spans="1:1" s="56" customFormat="1" ht="33" customHeight="1" thickBot="1" x14ac:dyDescent="0.3">
      <c r="A10" s="59" t="s">
        <v>8</v>
      </c>
    </row>
    <row r="11" spans="1:1" s="56" customFormat="1" ht="23.7" customHeight="1" x14ac:dyDescent="0.25">
      <c r="A11" s="61" t="s">
        <v>9</v>
      </c>
    </row>
    <row r="12" spans="1:1" s="56" customFormat="1" ht="57" customHeight="1" x14ac:dyDescent="0.25">
      <c r="A12" s="62" t="s">
        <v>10</v>
      </c>
    </row>
    <row r="13" spans="1:1" s="60" customFormat="1" ht="21" customHeight="1" x14ac:dyDescent="0.25">
      <c r="A13" s="61" t="s">
        <v>11</v>
      </c>
    </row>
    <row r="14" spans="1:1" s="60" customFormat="1" ht="73.5" customHeight="1" x14ac:dyDescent="0.25">
      <c r="A14" s="65" t="s">
        <v>12</v>
      </c>
    </row>
    <row r="15" spans="1:1" s="60" customFormat="1" ht="50.1" customHeight="1" x14ac:dyDescent="0.25">
      <c r="A15" s="65" t="s">
        <v>13</v>
      </c>
    </row>
    <row r="16" spans="1:1" s="64" customFormat="1" ht="21" customHeight="1" x14ac:dyDescent="0.25">
      <c r="A16" s="63" t="s">
        <v>14</v>
      </c>
    </row>
    <row r="17" spans="1:18" s="60" customFormat="1" ht="100.5" customHeight="1" x14ac:dyDescent="0.25">
      <c r="A17" s="65" t="s">
        <v>15</v>
      </c>
    </row>
    <row r="18" spans="1:18" s="60" customFormat="1" ht="21" customHeight="1" x14ac:dyDescent="0.25">
      <c r="A18" s="61" t="s">
        <v>16</v>
      </c>
    </row>
    <row r="19" spans="1:18" s="60" customFormat="1" ht="353.25" customHeight="1" x14ac:dyDescent="0.25">
      <c r="A19" s="311" t="s">
        <v>17</v>
      </c>
      <c r="B19" s="294"/>
      <c r="C19" s="294"/>
      <c r="D19" s="294"/>
      <c r="E19" s="294"/>
      <c r="F19" s="294"/>
      <c r="G19" s="294"/>
      <c r="H19" s="294"/>
      <c r="I19" s="294"/>
      <c r="J19" s="294"/>
      <c r="K19" s="294"/>
      <c r="L19" s="294"/>
      <c r="M19" s="294"/>
      <c r="N19" s="294"/>
      <c r="O19" s="294"/>
    </row>
    <row r="20" spans="1:18" s="60" customFormat="1" ht="180" x14ac:dyDescent="0.25">
      <c r="A20" s="295" t="s">
        <v>18</v>
      </c>
      <c r="B20" s="294"/>
      <c r="C20" s="294"/>
      <c r="D20" s="294"/>
      <c r="E20" s="294"/>
      <c r="F20" s="294"/>
      <c r="G20" s="294"/>
      <c r="H20" s="294"/>
      <c r="I20" s="294"/>
      <c r="J20" s="294"/>
      <c r="K20" s="294"/>
      <c r="L20" s="294"/>
      <c r="M20" s="294"/>
      <c r="N20" s="294"/>
      <c r="O20" s="294"/>
    </row>
    <row r="21" spans="1:18" s="56" customFormat="1" ht="37.5" customHeight="1" x14ac:dyDescent="0.25">
      <c r="A21" s="296" t="s">
        <v>19</v>
      </c>
    </row>
    <row r="22" spans="1:18" s="56" customFormat="1" ht="33.6" customHeight="1" x14ac:dyDescent="0.25">
      <c r="A22" s="297" t="s">
        <v>20</v>
      </c>
    </row>
    <row r="23" spans="1:18" s="56" customFormat="1" ht="21" customHeight="1" x14ac:dyDescent="0.25">
      <c r="A23" s="298" t="s">
        <v>21</v>
      </c>
    </row>
    <row r="24" spans="1:18" s="56" customFormat="1" ht="21" customHeight="1" x14ac:dyDescent="0.25">
      <c r="A24" s="298" t="s">
        <v>22</v>
      </c>
    </row>
    <row r="25" spans="1:18" s="56" customFormat="1" ht="21" customHeight="1" x14ac:dyDescent="0.25">
      <c r="A25" s="299" t="s">
        <v>23</v>
      </c>
    </row>
    <row r="26" spans="1:18" s="64" customFormat="1" ht="21" customHeight="1" thickBot="1" x14ac:dyDescent="0.3">
      <c r="A26" s="61" t="s">
        <v>24</v>
      </c>
      <c r="B26" s="193"/>
      <c r="C26" s="193"/>
      <c r="D26" s="193"/>
      <c r="E26" s="193"/>
      <c r="F26" s="193"/>
      <c r="G26" s="193"/>
      <c r="H26" s="193"/>
    </row>
    <row r="27" spans="1:18" s="56" customFormat="1" ht="145.5" customHeight="1" x14ac:dyDescent="0.25">
      <c r="A27" s="300" t="s">
        <v>25</v>
      </c>
      <c r="B27" s="192"/>
      <c r="C27" s="192"/>
      <c r="D27" s="192"/>
      <c r="E27" s="192"/>
      <c r="F27" s="192"/>
      <c r="G27" s="192"/>
      <c r="H27" s="192"/>
      <c r="I27" s="192"/>
      <c r="J27" s="192"/>
      <c r="K27" s="192"/>
      <c r="L27" s="192"/>
      <c r="M27" s="192"/>
      <c r="N27" s="192"/>
      <c r="O27" s="192"/>
      <c r="P27" s="192"/>
      <c r="Q27" s="192"/>
      <c r="R27" s="192"/>
    </row>
    <row r="28" spans="1:18" s="56" customFormat="1" ht="21" customHeight="1" x14ac:dyDescent="0.25">
      <c r="A28" s="61" t="s">
        <v>26</v>
      </c>
    </row>
    <row r="29" spans="1:18" s="56" customFormat="1" ht="147.75" customHeight="1" x14ac:dyDescent="0.25">
      <c r="A29" s="301" t="s">
        <v>27</v>
      </c>
      <c r="B29" s="192"/>
      <c r="C29" s="192"/>
      <c r="D29" s="192"/>
      <c r="E29" s="192"/>
      <c r="F29" s="192"/>
      <c r="G29" s="192"/>
      <c r="H29" s="192"/>
    </row>
    <row r="30" spans="1:18" s="56" customFormat="1" ht="38.700000000000003" customHeight="1" x14ac:dyDescent="0.25">
      <c r="A30" s="62" t="s">
        <v>28</v>
      </c>
    </row>
    <row r="31" spans="1:18" s="56" customFormat="1" ht="69" customHeight="1" x14ac:dyDescent="0.25">
      <c r="A31" s="62" t="s">
        <v>29</v>
      </c>
    </row>
    <row r="32" spans="1:18" s="60" customFormat="1" ht="51.6" customHeight="1" x14ac:dyDescent="0.25">
      <c r="A32" s="65" t="s">
        <v>30</v>
      </c>
    </row>
    <row r="33" spans="1:1" s="60" customFormat="1" ht="21" customHeight="1" x14ac:dyDescent="0.25">
      <c r="A33" s="66" t="s">
        <v>31</v>
      </c>
    </row>
    <row r="34" spans="1:1" ht="21" customHeight="1" x14ac:dyDescent="0.25">
      <c r="A34" s="67" t="s">
        <v>32</v>
      </c>
    </row>
    <row r="35" spans="1:1" ht="21" customHeight="1" x14ac:dyDescent="0.25">
      <c r="A35" s="67" t="s">
        <v>33</v>
      </c>
    </row>
    <row r="36" spans="1:1" s="56" customFormat="1" ht="21" customHeight="1" x14ac:dyDescent="0.25">
      <c r="A36" s="67" t="s">
        <v>34</v>
      </c>
    </row>
    <row r="37" spans="1:1" s="56" customFormat="1" ht="21" customHeight="1" x14ac:dyDescent="0.25">
      <c r="A37" s="67" t="s">
        <v>35</v>
      </c>
    </row>
    <row r="38" spans="1:1" s="56" customFormat="1" ht="21" customHeight="1" x14ac:dyDescent="0.25">
      <c r="A38" s="67" t="s">
        <v>36</v>
      </c>
    </row>
    <row r="39" spans="1:1" s="56" customFormat="1" ht="21" customHeight="1" x14ac:dyDescent="0.25">
      <c r="A39" s="61" t="s">
        <v>37</v>
      </c>
    </row>
    <row r="40" spans="1:1" s="60" customFormat="1" ht="21" customHeight="1" x14ac:dyDescent="0.25">
      <c r="A40" s="68" t="s">
        <v>38</v>
      </c>
    </row>
    <row r="41" spans="1:1" s="70" customFormat="1" ht="145.35" customHeight="1" x14ac:dyDescent="0.25">
      <c r="A41" s="69" t="s">
        <v>39</v>
      </c>
    </row>
    <row r="42" spans="1:1" s="70" customFormat="1" ht="57.6" customHeight="1" x14ac:dyDescent="0.25">
      <c r="A42" s="69" t="s">
        <v>40</v>
      </c>
    </row>
    <row r="43" spans="1:1" s="70" customFormat="1" ht="64.349999999999994" customHeight="1" x14ac:dyDescent="0.25">
      <c r="A43" s="69" t="s">
        <v>41</v>
      </c>
    </row>
    <row r="44" spans="1:1" s="70" customFormat="1" ht="77.099999999999994" customHeight="1" x14ac:dyDescent="0.25">
      <c r="A44" s="69" t="s">
        <v>42</v>
      </c>
    </row>
    <row r="45" spans="1:1" s="70" customFormat="1" ht="28.35" customHeight="1" x14ac:dyDescent="0.25">
      <c r="A45" s="69" t="s">
        <v>43</v>
      </c>
    </row>
    <row r="46" spans="1:1" s="70" customFormat="1" ht="26.1" customHeight="1" x14ac:dyDescent="0.25">
      <c r="A46" s="71" t="s">
        <v>44</v>
      </c>
    </row>
    <row r="47" spans="1:1" s="70" customFormat="1" ht="36" customHeight="1" x14ac:dyDescent="0.25">
      <c r="A47" s="69" t="s">
        <v>45</v>
      </c>
    </row>
    <row r="48" spans="1:1" s="70" customFormat="1" ht="20.25" customHeight="1" x14ac:dyDescent="0.25">
      <c r="A48" s="69" t="s">
        <v>46</v>
      </c>
    </row>
    <row r="49" spans="1:1" s="70" customFormat="1" ht="21.6" customHeight="1" x14ac:dyDescent="0.25">
      <c r="A49" s="69" t="s">
        <v>47</v>
      </c>
    </row>
    <row r="50" spans="1:1" s="70" customFormat="1" ht="24.6" customHeight="1" x14ac:dyDescent="0.25">
      <c r="A50" s="71" t="s">
        <v>48</v>
      </c>
    </row>
    <row r="51" spans="1:1" s="70" customFormat="1" ht="17.7" customHeight="1" x14ac:dyDescent="0.25">
      <c r="A51" s="71" t="s">
        <v>49</v>
      </c>
    </row>
    <row r="52" spans="1:1" s="70" customFormat="1" ht="35.1" customHeight="1" x14ac:dyDescent="0.25">
      <c r="A52" s="71" t="s">
        <v>50</v>
      </c>
    </row>
    <row r="53" spans="1:1" s="70" customFormat="1" ht="57" customHeight="1" x14ac:dyDescent="0.25">
      <c r="A53" s="71" t="s">
        <v>51</v>
      </c>
    </row>
    <row r="54" spans="1:1" s="70" customFormat="1" ht="62.1" customHeight="1" x14ac:dyDescent="0.25">
      <c r="A54" s="71" t="s">
        <v>52</v>
      </c>
    </row>
    <row r="55" spans="1:1" s="70" customFormat="1" ht="107.1" customHeight="1" x14ac:dyDescent="0.25">
      <c r="A55" s="71" t="s">
        <v>53</v>
      </c>
    </row>
    <row r="56" spans="1:1" s="70" customFormat="1" ht="63" customHeight="1" x14ac:dyDescent="0.25">
      <c r="A56" s="71" t="s">
        <v>54</v>
      </c>
    </row>
    <row r="57" spans="1:1" s="70" customFormat="1" ht="24" customHeight="1" x14ac:dyDescent="0.25">
      <c r="A57" s="71" t="s">
        <v>55</v>
      </c>
    </row>
    <row r="58" spans="1:1" s="70" customFormat="1" ht="23.1" customHeight="1" x14ac:dyDescent="0.25">
      <c r="A58" s="71" t="s">
        <v>56</v>
      </c>
    </row>
    <row r="59" spans="1:1" s="56" customFormat="1" ht="86.4" x14ac:dyDescent="0.25">
      <c r="A59" s="71" t="s">
        <v>57</v>
      </c>
    </row>
    <row r="60" spans="1:1" s="56" customFormat="1" ht="51.6" customHeight="1" x14ac:dyDescent="0.25">
      <c r="A60" s="71" t="s">
        <v>58</v>
      </c>
    </row>
    <row r="61" spans="1:1" s="56" customFormat="1" ht="89.7" customHeight="1" x14ac:dyDescent="0.25">
      <c r="A61" s="71" t="s">
        <v>59</v>
      </c>
    </row>
    <row r="62" spans="1:1" s="56" customFormat="1" ht="32.700000000000003" customHeight="1" x14ac:dyDescent="0.25">
      <c r="A62" s="71" t="s">
        <v>60</v>
      </c>
    </row>
    <row r="63" spans="1:1" hidden="1" x14ac:dyDescent="0.25">
      <c r="A63" s="72"/>
    </row>
    <row r="64" spans="1:1" hidden="1" x14ac:dyDescent="0.25">
      <c r="A64" s="72"/>
    </row>
    <row r="65" spans="1:1" hidden="1" x14ac:dyDescent="0.25">
      <c r="A65" s="72"/>
    </row>
    <row r="66" spans="1:1" s="91"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3.2" x14ac:dyDescent="0.25"/>
  <cols>
    <col min="1" max="1" width="40" bestFit="1" customWidth="1"/>
  </cols>
  <sheetData>
    <row r="1" spans="1:1" x14ac:dyDescent="0.25">
      <c r="A1" s="256" t="s">
        <v>312</v>
      </c>
    </row>
    <row r="2" spans="1:1" ht="15" x14ac:dyDescent="0.25">
      <c r="A2" s="254" t="s">
        <v>308</v>
      </c>
    </row>
    <row r="3" spans="1:1" ht="15" x14ac:dyDescent="0.25">
      <c r="A3" s="166" t="s">
        <v>313</v>
      </c>
    </row>
    <row r="4" spans="1:1" ht="15" x14ac:dyDescent="0.25">
      <c r="A4" s="254" t="s">
        <v>314</v>
      </c>
    </row>
    <row r="5" spans="1:1" ht="15" x14ac:dyDescent="0.25">
      <c r="A5" s="254" t="s">
        <v>309</v>
      </c>
    </row>
    <row r="6" spans="1:1" ht="15" x14ac:dyDescent="0.25">
      <c r="A6" s="253" t="s">
        <v>303</v>
      </c>
    </row>
    <row r="7" spans="1:1" ht="15" x14ac:dyDescent="0.25">
      <c r="A7" s="254" t="s">
        <v>315</v>
      </c>
    </row>
    <row r="8" spans="1:1" ht="15" x14ac:dyDescent="0.25">
      <c r="A8" s="255" t="s">
        <v>316</v>
      </c>
    </row>
    <row r="9" spans="1:1" ht="15" x14ac:dyDescent="0.25">
      <c r="A9" s="255" t="s">
        <v>294</v>
      </c>
    </row>
    <row r="10" spans="1:1" ht="15" x14ac:dyDescent="0.25">
      <c r="A10" s="257" t="s">
        <v>301</v>
      </c>
    </row>
    <row r="11" spans="1:1" ht="15" x14ac:dyDescent="0.25">
      <c r="A11" s="257" t="s">
        <v>317</v>
      </c>
    </row>
    <row r="12" spans="1:1" ht="15" x14ac:dyDescent="0.25">
      <c r="A12" s="255" t="s">
        <v>318</v>
      </c>
    </row>
    <row r="13" spans="1:1" ht="15" x14ac:dyDescent="0.25">
      <c r="A13" s="255" t="s">
        <v>319</v>
      </c>
    </row>
    <row r="14" spans="1:1" ht="15" x14ac:dyDescent="0.25">
      <c r="A14" s="255" t="s">
        <v>320</v>
      </c>
    </row>
    <row r="15" spans="1:1" ht="15" x14ac:dyDescent="0.25">
      <c r="A15" s="166" t="s">
        <v>321</v>
      </c>
    </row>
    <row r="16" spans="1:1" ht="15" x14ac:dyDescent="0.25">
      <c r="A16" s="166" t="s">
        <v>322</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546875" defaultRowHeight="13.2" x14ac:dyDescent="0.25"/>
  <cols>
    <col min="1" max="1" width="55.5546875" customWidth="1"/>
    <col min="2" max="11" width="15.5546875" customWidth="1"/>
  </cols>
  <sheetData>
    <row r="1" spans="1:13" s="1" customFormat="1" ht="20.100000000000001" customHeight="1" x14ac:dyDescent="0.4">
      <c r="A1" s="440" t="str">
        <f>'Institution ID'!A1</f>
        <v>Six-Year Plans (2023): 2024-25 through 2029-30</v>
      </c>
      <c r="B1" s="440"/>
      <c r="C1" s="440"/>
      <c r="D1" s="440"/>
      <c r="E1" s="440"/>
      <c r="F1" s="440"/>
      <c r="G1" s="440"/>
      <c r="H1" s="440"/>
      <c r="I1" s="9"/>
      <c r="J1" s="8"/>
      <c r="K1" s="8"/>
      <c r="L1" s="8"/>
      <c r="M1" s="8"/>
    </row>
    <row r="2" spans="1:13" s="1" customFormat="1" ht="20.100000000000001" customHeight="1" x14ac:dyDescent="0.25">
      <c r="A2" s="313" t="str">
        <f>'Institution ID'!C3</f>
        <v>James Madison University</v>
      </c>
      <c r="B2" s="31"/>
      <c r="C2" s="31"/>
      <c r="D2" s="31"/>
      <c r="E2" s="31"/>
      <c r="F2" s="31"/>
      <c r="G2" s="31"/>
      <c r="H2" s="31"/>
      <c r="I2" s="31"/>
      <c r="J2" s="8"/>
      <c r="K2" s="8"/>
      <c r="L2" s="8"/>
      <c r="M2" s="8"/>
    </row>
    <row r="3" spans="1:13" ht="20.100000000000001" customHeight="1" x14ac:dyDescent="0.25">
      <c r="A3" s="30" t="s">
        <v>323</v>
      </c>
      <c r="B3" s="30"/>
      <c r="C3" s="30"/>
      <c r="D3" s="30"/>
      <c r="E3" s="30"/>
      <c r="F3" s="30"/>
      <c r="G3" s="30"/>
      <c r="H3" s="30"/>
      <c r="I3" s="30"/>
    </row>
    <row r="4" spans="1:13" ht="20.100000000000001" customHeight="1" x14ac:dyDescent="0.25">
      <c r="A4" s="30" t="s">
        <v>324</v>
      </c>
      <c r="B4" s="30"/>
      <c r="C4" s="30"/>
      <c r="D4" s="30"/>
      <c r="E4" s="30"/>
      <c r="F4" s="30"/>
      <c r="G4" s="30"/>
      <c r="H4" s="30"/>
      <c r="I4" s="30"/>
    </row>
    <row r="5" spans="1:13" ht="20.100000000000001" customHeight="1" thickBot="1" x14ac:dyDescent="0.35">
      <c r="A5" s="11"/>
      <c r="B5" s="11"/>
      <c r="C5" s="11"/>
      <c r="D5" s="11"/>
      <c r="E5" s="11"/>
      <c r="F5" s="11"/>
      <c r="G5" s="11"/>
      <c r="H5" s="11"/>
      <c r="I5" s="11"/>
    </row>
    <row r="6" spans="1:13" s="12" customFormat="1" ht="20.100000000000001" customHeight="1" x14ac:dyDescent="0.25">
      <c r="A6" s="540" t="s">
        <v>325</v>
      </c>
      <c r="B6" s="541"/>
      <c r="C6" s="541"/>
      <c r="D6" s="541"/>
      <c r="E6" s="541"/>
      <c r="F6" s="541"/>
      <c r="G6" s="541"/>
      <c r="H6" s="542"/>
      <c r="I6" s="15"/>
    </row>
    <row r="7" spans="1:13" s="1" customFormat="1" ht="20.100000000000001" customHeight="1" x14ac:dyDescent="0.25">
      <c r="A7" s="543" t="s">
        <v>326</v>
      </c>
      <c r="B7" s="544"/>
      <c r="C7" s="544"/>
      <c r="D7" s="544"/>
      <c r="E7" s="544"/>
      <c r="F7" s="544"/>
      <c r="G7" s="544"/>
      <c r="H7" s="545"/>
    </row>
    <row r="8" spans="1:13" s="1" customFormat="1" ht="20.100000000000001" customHeight="1" x14ac:dyDescent="0.25">
      <c r="A8" s="524" t="s">
        <v>327</v>
      </c>
      <c r="B8" s="524" t="s">
        <v>328</v>
      </c>
      <c r="C8" s="524"/>
      <c r="D8" s="524"/>
      <c r="E8" s="524" t="s">
        <v>329</v>
      </c>
      <c r="F8" s="524"/>
      <c r="G8" s="524"/>
      <c r="H8" s="551" t="s">
        <v>153</v>
      </c>
    </row>
    <row r="9" spans="1:13" s="1" customFormat="1" ht="20.100000000000001" customHeight="1" x14ac:dyDescent="0.25">
      <c r="A9" s="548"/>
      <c r="B9" s="317" t="s">
        <v>330</v>
      </c>
      <c r="C9" s="317" t="s">
        <v>331</v>
      </c>
      <c r="D9" s="317" t="s">
        <v>153</v>
      </c>
      <c r="E9" s="317" t="s">
        <v>330</v>
      </c>
      <c r="F9" s="317" t="s">
        <v>331</v>
      </c>
      <c r="G9" s="317" t="s">
        <v>153</v>
      </c>
      <c r="H9" s="552"/>
    </row>
    <row r="10" spans="1:13" s="1" customFormat="1" ht="20.100000000000001" customHeight="1" x14ac:dyDescent="0.25">
      <c r="A10" s="21" t="s">
        <v>145</v>
      </c>
      <c r="B10" s="13">
        <v>206500</v>
      </c>
      <c r="C10" s="13">
        <v>58002</v>
      </c>
      <c r="D10" s="14">
        <f>B10+C10</f>
        <v>264502</v>
      </c>
      <c r="E10" s="13">
        <v>73902</v>
      </c>
      <c r="F10" s="13">
        <v>19763</v>
      </c>
      <c r="G10" s="18">
        <f>E10+F10</f>
        <v>93665</v>
      </c>
      <c r="H10" s="20">
        <f>SUM(D10,G10)</f>
        <v>358167</v>
      </c>
    </row>
    <row r="11" spans="1:13" s="1" customFormat="1" ht="20.100000000000001" customHeight="1" x14ac:dyDescent="0.25">
      <c r="A11" s="318" t="s">
        <v>332</v>
      </c>
      <c r="B11" s="13">
        <v>0</v>
      </c>
      <c r="C11" s="13">
        <v>0</v>
      </c>
      <c r="D11" s="14">
        <f>B11+C11</f>
        <v>0</v>
      </c>
      <c r="E11" s="13">
        <v>0</v>
      </c>
      <c r="F11" s="13">
        <v>0</v>
      </c>
      <c r="G11" s="18">
        <f>E11+F11</f>
        <v>0</v>
      </c>
      <c r="H11" s="20">
        <f>SUM(D11,G11)</f>
        <v>0</v>
      </c>
    </row>
    <row r="12" spans="1:13" s="1" customFormat="1" ht="20.100000000000001" customHeight="1" x14ac:dyDescent="0.25">
      <c r="A12" s="318" t="s">
        <v>333</v>
      </c>
      <c r="B12" s="101">
        <v>0</v>
      </c>
      <c r="C12" s="101">
        <v>0</v>
      </c>
      <c r="D12" s="102">
        <f t="shared" ref="D12:D25" si="0">B12+C12</f>
        <v>0</v>
      </c>
      <c r="E12" s="101">
        <v>830621</v>
      </c>
      <c r="F12" s="101">
        <v>19920</v>
      </c>
      <c r="G12" s="19">
        <f t="shared" ref="G12:G25" si="1">E12+F12</f>
        <v>850541</v>
      </c>
      <c r="H12" s="20">
        <f t="shared" ref="H12:H25" si="2">SUM(D12,G12)</f>
        <v>850541</v>
      </c>
    </row>
    <row r="13" spans="1:13" s="1" customFormat="1" ht="20.100000000000001" customHeight="1" x14ac:dyDescent="0.25">
      <c r="A13" s="318" t="s">
        <v>334</v>
      </c>
      <c r="B13" s="101">
        <v>0</v>
      </c>
      <c r="C13" s="101">
        <v>0</v>
      </c>
      <c r="D13" s="102">
        <f t="shared" si="0"/>
        <v>0</v>
      </c>
      <c r="E13" s="101">
        <v>38052</v>
      </c>
      <c r="F13" s="101">
        <v>0</v>
      </c>
      <c r="G13" s="19">
        <f t="shared" si="1"/>
        <v>38052</v>
      </c>
      <c r="H13" s="20">
        <f t="shared" si="2"/>
        <v>38052</v>
      </c>
    </row>
    <row r="14" spans="1:13" s="1" customFormat="1" ht="20.100000000000001" customHeight="1" x14ac:dyDescent="0.25">
      <c r="A14" s="28" t="s">
        <v>335</v>
      </c>
      <c r="B14" s="103"/>
      <c r="C14" s="103"/>
      <c r="D14" s="103"/>
      <c r="E14" s="103"/>
      <c r="F14" s="103"/>
      <c r="G14" s="29"/>
      <c r="H14" s="29"/>
    </row>
    <row r="15" spans="1:13" s="1" customFormat="1" ht="20.100000000000001" customHeight="1" x14ac:dyDescent="0.25">
      <c r="A15" s="318" t="s">
        <v>336</v>
      </c>
      <c r="B15" s="101">
        <v>0</v>
      </c>
      <c r="C15" s="101">
        <v>0</v>
      </c>
      <c r="D15" s="102">
        <f t="shared" si="0"/>
        <v>0</v>
      </c>
      <c r="E15" s="101">
        <v>0</v>
      </c>
      <c r="F15" s="101">
        <v>0</v>
      </c>
      <c r="G15" s="19">
        <f t="shared" si="1"/>
        <v>0</v>
      </c>
      <c r="H15" s="20">
        <f t="shared" si="2"/>
        <v>0</v>
      </c>
    </row>
    <row r="16" spans="1:13" s="1" customFormat="1" ht="20.100000000000001" customHeight="1" x14ac:dyDescent="0.25">
      <c r="A16" s="318" t="s">
        <v>337</v>
      </c>
      <c r="B16" s="103"/>
      <c r="C16" s="103"/>
      <c r="D16" s="103"/>
      <c r="E16" s="103"/>
      <c r="F16" s="103"/>
      <c r="G16" s="29"/>
      <c r="H16" s="29"/>
    </row>
    <row r="17" spans="1:8" s="1" customFormat="1" ht="20.100000000000001" customHeight="1" x14ac:dyDescent="0.25">
      <c r="A17" s="318" t="s">
        <v>338</v>
      </c>
      <c r="B17" s="101">
        <v>0</v>
      </c>
      <c r="C17" s="101">
        <v>0</v>
      </c>
      <c r="D17" s="102">
        <f t="shared" si="0"/>
        <v>0</v>
      </c>
      <c r="E17" s="101">
        <v>0</v>
      </c>
      <c r="F17" s="101">
        <v>0</v>
      </c>
      <c r="G17" s="19">
        <f t="shared" si="1"/>
        <v>0</v>
      </c>
      <c r="H17" s="20">
        <f t="shared" si="2"/>
        <v>0</v>
      </c>
    </row>
    <row r="18" spans="1:8" s="1" customFormat="1" ht="20.100000000000001" customHeight="1" x14ac:dyDescent="0.25">
      <c r="A18" s="318" t="s">
        <v>339</v>
      </c>
      <c r="B18" s="101">
        <v>0</v>
      </c>
      <c r="C18" s="101">
        <v>0</v>
      </c>
      <c r="D18" s="102">
        <f t="shared" si="0"/>
        <v>0</v>
      </c>
      <c r="E18" s="101">
        <v>0</v>
      </c>
      <c r="F18" s="101">
        <v>0</v>
      </c>
      <c r="G18" s="19">
        <f t="shared" si="1"/>
        <v>0</v>
      </c>
      <c r="H18" s="20">
        <f t="shared" si="2"/>
        <v>0</v>
      </c>
    </row>
    <row r="19" spans="1:8" s="1" customFormat="1" ht="20.100000000000001" customHeight="1" x14ac:dyDescent="0.25">
      <c r="A19" s="318" t="s">
        <v>340</v>
      </c>
      <c r="B19" s="101">
        <v>0</v>
      </c>
      <c r="C19" s="101">
        <v>0</v>
      </c>
      <c r="D19" s="102">
        <f t="shared" si="0"/>
        <v>0</v>
      </c>
      <c r="E19" s="101">
        <v>0</v>
      </c>
      <c r="F19" s="101">
        <v>0</v>
      </c>
      <c r="G19" s="19">
        <f t="shared" si="1"/>
        <v>0</v>
      </c>
      <c r="H19" s="20">
        <f t="shared" si="2"/>
        <v>0</v>
      </c>
    </row>
    <row r="20" spans="1:8" s="1" customFormat="1" ht="20.100000000000001" customHeight="1" x14ac:dyDescent="0.25">
      <c r="A20" s="318" t="s">
        <v>341</v>
      </c>
      <c r="B20" s="101">
        <v>0</v>
      </c>
      <c r="C20" s="101">
        <v>0</v>
      </c>
      <c r="D20" s="102">
        <f t="shared" si="0"/>
        <v>0</v>
      </c>
      <c r="E20" s="101">
        <v>16913</v>
      </c>
      <c r="F20" s="101">
        <v>0</v>
      </c>
      <c r="G20" s="19">
        <f t="shared" si="1"/>
        <v>16913</v>
      </c>
      <c r="H20" s="20">
        <f t="shared" si="2"/>
        <v>16913</v>
      </c>
    </row>
    <row r="21" spans="1:8" s="1" customFormat="1" ht="20.100000000000001" customHeight="1" x14ac:dyDescent="0.25">
      <c r="A21" s="318" t="s">
        <v>342</v>
      </c>
      <c r="B21" s="101">
        <v>32682</v>
      </c>
      <c r="C21" s="101">
        <v>0</v>
      </c>
      <c r="D21" s="102">
        <f t="shared" si="0"/>
        <v>32682</v>
      </c>
      <c r="E21" s="101">
        <v>0</v>
      </c>
      <c r="F21" s="101">
        <v>0</v>
      </c>
      <c r="G21" s="19">
        <f t="shared" si="1"/>
        <v>0</v>
      </c>
      <c r="H21" s="20">
        <f t="shared" si="2"/>
        <v>32682</v>
      </c>
    </row>
    <row r="22" spans="1:8" s="1" customFormat="1" ht="20.100000000000001" customHeight="1" x14ac:dyDescent="0.25">
      <c r="A22" s="318" t="s">
        <v>343</v>
      </c>
      <c r="B22" s="101">
        <v>0</v>
      </c>
      <c r="C22" s="101">
        <v>0</v>
      </c>
      <c r="D22" s="102">
        <f t="shared" si="0"/>
        <v>0</v>
      </c>
      <c r="E22" s="101">
        <v>0</v>
      </c>
      <c r="F22" s="101">
        <v>0</v>
      </c>
      <c r="G22" s="19">
        <f t="shared" si="1"/>
        <v>0</v>
      </c>
      <c r="H22" s="20">
        <f t="shared" si="2"/>
        <v>0</v>
      </c>
    </row>
    <row r="23" spans="1:8" s="1" customFormat="1" ht="20.100000000000001" customHeight="1" x14ac:dyDescent="0.25">
      <c r="A23" s="318" t="s">
        <v>344</v>
      </c>
      <c r="B23" s="101">
        <v>120156</v>
      </c>
      <c r="C23" s="101">
        <v>0</v>
      </c>
      <c r="D23" s="102">
        <f t="shared" si="0"/>
        <v>120156</v>
      </c>
      <c r="E23" s="101">
        <v>0</v>
      </c>
      <c r="F23" s="101">
        <v>0</v>
      </c>
      <c r="G23" s="19">
        <f t="shared" si="1"/>
        <v>0</v>
      </c>
      <c r="H23" s="20">
        <f t="shared" si="2"/>
        <v>120156</v>
      </c>
    </row>
    <row r="24" spans="1:8" s="1" customFormat="1" ht="20.100000000000001" customHeight="1" x14ac:dyDescent="0.25">
      <c r="A24" s="318" t="s">
        <v>345</v>
      </c>
      <c r="B24" s="101">
        <v>16341</v>
      </c>
      <c r="C24" s="101">
        <v>4520</v>
      </c>
      <c r="D24" s="102">
        <f t="shared" ref="D24" si="3">B24+C24</f>
        <v>20861</v>
      </c>
      <c r="E24" s="101">
        <v>9648</v>
      </c>
      <c r="F24" s="101">
        <v>0</v>
      </c>
      <c r="G24" s="19">
        <f t="shared" ref="G24" si="4">E24+F24</f>
        <v>9648</v>
      </c>
      <c r="H24" s="20">
        <f t="shared" ref="H24" si="5">SUM(D24,G24)</f>
        <v>30509</v>
      </c>
    </row>
    <row r="25" spans="1:8" s="1" customFormat="1" ht="20.100000000000001" customHeight="1" x14ac:dyDescent="0.25">
      <c r="A25" s="318" t="s">
        <v>346</v>
      </c>
      <c r="B25" s="101">
        <v>0</v>
      </c>
      <c r="C25" s="101">
        <v>0</v>
      </c>
      <c r="D25" s="102">
        <f t="shared" si="0"/>
        <v>0</v>
      </c>
      <c r="E25" s="101">
        <v>0</v>
      </c>
      <c r="F25" s="101">
        <v>16480</v>
      </c>
      <c r="G25" s="19">
        <f t="shared" si="1"/>
        <v>16480</v>
      </c>
      <c r="H25" s="20">
        <f t="shared" si="2"/>
        <v>16480</v>
      </c>
    </row>
    <row r="26" spans="1:8" s="1" customFormat="1" ht="20.100000000000001" customHeight="1" thickBot="1" x14ac:dyDescent="0.3">
      <c r="A26" s="16" t="s">
        <v>153</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3">
      <c r="A27" s="546"/>
      <c r="B27" s="547"/>
      <c r="C27" s="547"/>
      <c r="D27" s="547"/>
      <c r="E27" s="547"/>
      <c r="F27" s="547"/>
      <c r="G27" s="547"/>
      <c r="H27" s="547"/>
    </row>
    <row r="28" spans="1:8" s="1" customFormat="1" ht="20.100000000000001" customHeight="1" x14ac:dyDescent="0.25">
      <c r="A28" s="554" t="s">
        <v>347</v>
      </c>
      <c r="B28" s="555"/>
      <c r="C28" s="555"/>
      <c r="D28" s="555"/>
      <c r="E28" s="555"/>
      <c r="F28" s="555"/>
      <c r="G28" s="555"/>
      <c r="H28" s="556"/>
    </row>
    <row r="29" spans="1:8" s="1" customFormat="1" ht="20.100000000000001" customHeight="1" x14ac:dyDescent="0.25">
      <c r="A29" s="549" t="s">
        <v>327</v>
      </c>
      <c r="B29" s="524" t="s">
        <v>328</v>
      </c>
      <c r="C29" s="524"/>
      <c r="D29" s="524"/>
      <c r="E29" s="524" t="s">
        <v>329</v>
      </c>
      <c r="F29" s="524"/>
      <c r="G29" s="524"/>
      <c r="H29" s="545" t="s">
        <v>153</v>
      </c>
    </row>
    <row r="30" spans="1:8" s="1" customFormat="1" ht="20.100000000000001" customHeight="1" thickBot="1" x14ac:dyDescent="0.3">
      <c r="A30" s="550"/>
      <c r="B30" s="317" t="s">
        <v>330</v>
      </c>
      <c r="C30" s="317" t="s">
        <v>331</v>
      </c>
      <c r="D30" s="317" t="s">
        <v>153</v>
      </c>
      <c r="E30" s="317" t="s">
        <v>330</v>
      </c>
      <c r="F30" s="317" t="s">
        <v>331</v>
      </c>
      <c r="G30" s="317" t="s">
        <v>153</v>
      </c>
      <c r="H30" s="553"/>
    </row>
    <row r="31" spans="1:8" s="1" customFormat="1" ht="20.100000000000001" customHeight="1" x14ac:dyDescent="0.25">
      <c r="A31" s="21" t="s">
        <v>145</v>
      </c>
      <c r="B31" s="13">
        <v>342500</v>
      </c>
      <c r="C31" s="13">
        <v>76070</v>
      </c>
      <c r="D31" s="14">
        <f>B31+C31</f>
        <v>418570</v>
      </c>
      <c r="E31" s="13">
        <v>27845</v>
      </c>
      <c r="F31" s="13">
        <v>11470</v>
      </c>
      <c r="G31" s="18">
        <f>E31+F31</f>
        <v>39315</v>
      </c>
      <c r="H31" s="20">
        <f>SUM(D31,G31)</f>
        <v>457885</v>
      </c>
    </row>
    <row r="32" spans="1:8" s="1" customFormat="1" ht="20.100000000000001" customHeight="1" x14ac:dyDescent="0.25">
      <c r="A32" s="318" t="s">
        <v>332</v>
      </c>
      <c r="B32" s="13">
        <v>0</v>
      </c>
      <c r="C32" s="13">
        <v>0</v>
      </c>
      <c r="D32" s="14">
        <f>B32+C32</f>
        <v>0</v>
      </c>
      <c r="E32" s="13">
        <v>0</v>
      </c>
      <c r="F32" s="13">
        <v>0</v>
      </c>
      <c r="G32" s="18">
        <f>E32+F32</f>
        <v>0</v>
      </c>
      <c r="H32" s="20">
        <f>SUM(D32,G32)</f>
        <v>0</v>
      </c>
    </row>
    <row r="33" spans="1:8" s="1" customFormat="1" ht="20.100000000000001" customHeight="1" x14ac:dyDescent="0.25">
      <c r="A33" s="318" t="s">
        <v>333</v>
      </c>
      <c r="B33" s="101">
        <v>0</v>
      </c>
      <c r="C33" s="101">
        <v>0</v>
      </c>
      <c r="D33" s="102">
        <f t="shared" ref="D33:D34" si="7">B33+C33</f>
        <v>0</v>
      </c>
      <c r="E33" s="101">
        <v>920700</v>
      </c>
      <c r="F33" s="101">
        <v>0</v>
      </c>
      <c r="G33" s="19">
        <f t="shared" ref="G33:G34" si="8">E33+F33</f>
        <v>920700</v>
      </c>
      <c r="H33" s="20">
        <f t="shared" ref="H33:H34" si="9">SUM(D33,G33)</f>
        <v>920700</v>
      </c>
    </row>
    <row r="34" spans="1:8" s="1" customFormat="1" ht="20.100000000000001" customHeight="1" x14ac:dyDescent="0.25">
      <c r="A34" s="318" t="s">
        <v>334</v>
      </c>
      <c r="B34" s="101">
        <v>0</v>
      </c>
      <c r="C34" s="101">
        <v>0</v>
      </c>
      <c r="D34" s="102">
        <f t="shared" si="7"/>
        <v>0</v>
      </c>
      <c r="E34" s="101">
        <v>19800</v>
      </c>
      <c r="F34" s="101">
        <v>0</v>
      </c>
      <c r="G34" s="19">
        <f t="shared" si="8"/>
        <v>19800</v>
      </c>
      <c r="H34" s="20">
        <f t="shared" si="9"/>
        <v>19800</v>
      </c>
    </row>
    <row r="35" spans="1:8" s="1" customFormat="1" ht="20.100000000000001" customHeight="1" x14ac:dyDescent="0.25">
      <c r="A35" s="28" t="s">
        <v>335</v>
      </c>
      <c r="B35" s="103"/>
      <c r="C35" s="103"/>
      <c r="D35" s="103"/>
      <c r="E35" s="103"/>
      <c r="F35" s="103"/>
      <c r="G35" s="29"/>
      <c r="H35" s="29"/>
    </row>
    <row r="36" spans="1:8" s="1" customFormat="1" ht="20.100000000000001" customHeight="1" x14ac:dyDescent="0.25">
      <c r="A36" s="318" t="s">
        <v>336</v>
      </c>
      <c r="B36" s="101">
        <v>0</v>
      </c>
      <c r="C36" s="101">
        <v>0</v>
      </c>
      <c r="D36" s="102">
        <f t="shared" ref="D36" si="10">B36+C36</f>
        <v>0</v>
      </c>
      <c r="E36" s="101">
        <v>0</v>
      </c>
      <c r="F36" s="101">
        <v>0</v>
      </c>
      <c r="G36" s="19">
        <f t="shared" ref="G36" si="11">E36+F36</f>
        <v>0</v>
      </c>
      <c r="H36" s="20">
        <f t="shared" ref="H36" si="12">SUM(D36,G36)</f>
        <v>0</v>
      </c>
    </row>
    <row r="37" spans="1:8" s="1" customFormat="1" ht="20.100000000000001" customHeight="1" x14ac:dyDescent="0.25">
      <c r="A37" s="318" t="s">
        <v>337</v>
      </c>
      <c r="B37" s="101">
        <v>0</v>
      </c>
      <c r="C37" s="101">
        <v>0</v>
      </c>
      <c r="D37" s="102">
        <f t="shared" ref="D37" si="13">B37+C37</f>
        <v>0</v>
      </c>
      <c r="E37" s="101">
        <v>0</v>
      </c>
      <c r="F37" s="101">
        <v>0</v>
      </c>
      <c r="G37" s="19">
        <f t="shared" ref="G37" si="14">E37+F37</f>
        <v>0</v>
      </c>
      <c r="H37" s="20">
        <f t="shared" ref="H37" si="15">SUM(D37,G37)</f>
        <v>0</v>
      </c>
    </row>
    <row r="38" spans="1:8" s="1" customFormat="1" ht="20.100000000000001" customHeight="1" x14ac:dyDescent="0.25">
      <c r="A38" s="318" t="s">
        <v>338</v>
      </c>
      <c r="B38" s="101">
        <v>0</v>
      </c>
      <c r="C38" s="101">
        <v>0</v>
      </c>
      <c r="D38" s="102">
        <f t="shared" ref="D38:D46" si="16">B38+C38</f>
        <v>0</v>
      </c>
      <c r="E38" s="101">
        <v>0</v>
      </c>
      <c r="F38" s="101">
        <v>0</v>
      </c>
      <c r="G38" s="19">
        <f t="shared" ref="G38:G46" si="17">E38+F38</f>
        <v>0</v>
      </c>
      <c r="H38" s="20">
        <f t="shared" ref="H38:H46" si="18">SUM(D38,G38)</f>
        <v>0</v>
      </c>
    </row>
    <row r="39" spans="1:8" s="1" customFormat="1" ht="20.100000000000001" customHeight="1" x14ac:dyDescent="0.25">
      <c r="A39" s="318" t="s">
        <v>339</v>
      </c>
      <c r="B39" s="101">
        <v>0</v>
      </c>
      <c r="C39" s="101">
        <v>0</v>
      </c>
      <c r="D39" s="102">
        <f t="shared" si="16"/>
        <v>0</v>
      </c>
      <c r="E39" s="101">
        <v>0</v>
      </c>
      <c r="F39" s="101">
        <v>0</v>
      </c>
      <c r="G39" s="19">
        <f t="shared" si="17"/>
        <v>0</v>
      </c>
      <c r="H39" s="20">
        <f t="shared" si="18"/>
        <v>0</v>
      </c>
    </row>
    <row r="40" spans="1:8" s="1" customFormat="1" ht="20.100000000000001" customHeight="1" x14ac:dyDescent="0.25">
      <c r="A40" s="318" t="s">
        <v>340</v>
      </c>
      <c r="B40" s="101">
        <v>0</v>
      </c>
      <c r="C40" s="101">
        <v>0</v>
      </c>
      <c r="D40" s="102">
        <f t="shared" si="16"/>
        <v>0</v>
      </c>
      <c r="E40" s="101">
        <v>0</v>
      </c>
      <c r="F40" s="101">
        <v>0</v>
      </c>
      <c r="G40" s="19">
        <f t="shared" si="17"/>
        <v>0</v>
      </c>
      <c r="H40" s="20">
        <f t="shared" si="18"/>
        <v>0</v>
      </c>
    </row>
    <row r="41" spans="1:8" s="1" customFormat="1" ht="20.100000000000001" customHeight="1" x14ac:dyDescent="0.25">
      <c r="A41" s="318" t="s">
        <v>341</v>
      </c>
      <c r="B41" s="101">
        <v>0</v>
      </c>
      <c r="C41" s="101">
        <v>0</v>
      </c>
      <c r="D41" s="102">
        <f t="shared" si="16"/>
        <v>0</v>
      </c>
      <c r="E41" s="101">
        <v>0</v>
      </c>
      <c r="F41" s="101">
        <v>0</v>
      </c>
      <c r="G41" s="19">
        <f t="shared" si="17"/>
        <v>0</v>
      </c>
      <c r="H41" s="20">
        <f t="shared" si="18"/>
        <v>0</v>
      </c>
    </row>
    <row r="42" spans="1:8" s="1" customFormat="1" ht="20.100000000000001" customHeight="1" x14ac:dyDescent="0.25">
      <c r="A42" s="318" t="s">
        <v>342</v>
      </c>
      <c r="B42" s="101">
        <v>42885</v>
      </c>
      <c r="C42" s="101">
        <v>0</v>
      </c>
      <c r="D42" s="102">
        <f t="shared" si="16"/>
        <v>42885</v>
      </c>
      <c r="E42" s="101">
        <v>0</v>
      </c>
      <c r="F42" s="101">
        <v>0</v>
      </c>
      <c r="G42" s="19">
        <f t="shared" si="17"/>
        <v>0</v>
      </c>
      <c r="H42" s="20">
        <f t="shared" si="18"/>
        <v>42885</v>
      </c>
    </row>
    <row r="43" spans="1:8" s="1" customFormat="1" ht="20.100000000000001" customHeight="1" x14ac:dyDescent="0.25">
      <c r="A43" s="318" t="s">
        <v>343</v>
      </c>
      <c r="B43" s="101">
        <v>0</v>
      </c>
      <c r="C43" s="101">
        <v>0</v>
      </c>
      <c r="D43" s="102">
        <f t="shared" si="16"/>
        <v>0</v>
      </c>
      <c r="E43" s="101">
        <v>0</v>
      </c>
      <c r="F43" s="101">
        <v>0</v>
      </c>
      <c r="G43" s="19">
        <f t="shared" si="17"/>
        <v>0</v>
      </c>
      <c r="H43" s="20">
        <f t="shared" si="18"/>
        <v>0</v>
      </c>
    </row>
    <row r="44" spans="1:8" s="1" customFormat="1" ht="20.100000000000001" customHeight="1" x14ac:dyDescent="0.25">
      <c r="A44" s="318" t="s">
        <v>344</v>
      </c>
      <c r="B44" s="101">
        <v>90301</v>
      </c>
      <c r="C44" s="101">
        <v>0</v>
      </c>
      <c r="D44" s="102">
        <f t="shared" si="16"/>
        <v>90301</v>
      </c>
      <c r="E44" s="101">
        <v>0</v>
      </c>
      <c r="F44" s="101">
        <v>0</v>
      </c>
      <c r="G44" s="19">
        <f t="shared" si="17"/>
        <v>0</v>
      </c>
      <c r="H44" s="20">
        <f t="shared" si="18"/>
        <v>90301</v>
      </c>
    </row>
    <row r="45" spans="1:8" s="1" customFormat="1" ht="20.100000000000001" customHeight="1" x14ac:dyDescent="0.25">
      <c r="A45" s="318" t="s">
        <v>345</v>
      </c>
      <c r="B45" s="101">
        <v>10536</v>
      </c>
      <c r="C45" s="101">
        <v>0</v>
      </c>
      <c r="D45" s="102">
        <f t="shared" si="16"/>
        <v>10536</v>
      </c>
      <c r="E45" s="101">
        <v>2517</v>
      </c>
      <c r="F45" s="101">
        <v>0</v>
      </c>
      <c r="G45" s="19">
        <f t="shared" si="17"/>
        <v>2517</v>
      </c>
      <c r="H45" s="20">
        <f t="shared" si="18"/>
        <v>13053</v>
      </c>
    </row>
    <row r="46" spans="1:8" s="1" customFormat="1" ht="20.100000000000001" customHeight="1" x14ac:dyDescent="0.25">
      <c r="A46" s="318" t="s">
        <v>346</v>
      </c>
      <c r="B46" s="101">
        <v>0</v>
      </c>
      <c r="C46" s="101">
        <v>0</v>
      </c>
      <c r="D46" s="102">
        <f t="shared" si="16"/>
        <v>0</v>
      </c>
      <c r="E46" s="101">
        <v>0</v>
      </c>
      <c r="F46" s="101">
        <v>0</v>
      </c>
      <c r="G46" s="19">
        <f t="shared" si="17"/>
        <v>0</v>
      </c>
      <c r="H46" s="20">
        <f t="shared" si="18"/>
        <v>0</v>
      </c>
    </row>
    <row r="47" spans="1:8" s="1" customFormat="1" ht="20.100000000000001" customHeight="1" thickBot="1" x14ac:dyDescent="0.3">
      <c r="A47" s="16" t="s">
        <v>153</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3">
      <c r="A48" s="546"/>
      <c r="B48" s="547"/>
      <c r="C48" s="547"/>
      <c r="D48" s="547"/>
      <c r="E48" s="547"/>
      <c r="F48" s="547"/>
      <c r="G48" s="547"/>
      <c r="H48" s="547"/>
    </row>
    <row r="49" spans="1:8" s="1" customFormat="1" ht="20.100000000000001" customHeight="1" x14ac:dyDescent="0.25">
      <c r="A49" s="554" t="s">
        <v>348</v>
      </c>
      <c r="B49" s="555"/>
      <c r="C49" s="555"/>
      <c r="D49" s="555"/>
      <c r="E49" s="555"/>
      <c r="F49" s="555"/>
      <c r="G49" s="555"/>
      <c r="H49" s="556"/>
    </row>
    <row r="50" spans="1:8" s="1" customFormat="1" ht="20.100000000000001" customHeight="1" x14ac:dyDescent="0.25">
      <c r="A50" s="549" t="s">
        <v>327</v>
      </c>
      <c r="B50" s="524" t="s">
        <v>328</v>
      </c>
      <c r="C50" s="524"/>
      <c r="D50" s="524"/>
      <c r="E50" s="524" t="s">
        <v>329</v>
      </c>
      <c r="F50" s="524"/>
      <c r="G50" s="524"/>
      <c r="H50" s="545" t="s">
        <v>153</v>
      </c>
    </row>
    <row r="51" spans="1:8" s="1" customFormat="1" ht="20.100000000000001" customHeight="1" thickBot="1" x14ac:dyDescent="0.3">
      <c r="A51" s="550"/>
      <c r="B51" s="317" t="s">
        <v>330</v>
      </c>
      <c r="C51" s="317" t="s">
        <v>331</v>
      </c>
      <c r="D51" s="317" t="s">
        <v>153</v>
      </c>
      <c r="E51" s="317" t="s">
        <v>330</v>
      </c>
      <c r="F51" s="317" t="s">
        <v>331</v>
      </c>
      <c r="G51" s="317" t="s">
        <v>153</v>
      </c>
      <c r="H51" s="545"/>
    </row>
    <row r="52" spans="1:8" s="1" customFormat="1" ht="20.100000000000001" customHeight="1" x14ac:dyDescent="0.25">
      <c r="A52" s="21" t="s">
        <v>145</v>
      </c>
      <c r="B52" s="13">
        <v>356200</v>
      </c>
      <c r="C52" s="13">
        <v>79113</v>
      </c>
      <c r="D52" s="14">
        <f>B52+C52</f>
        <v>435313</v>
      </c>
      <c r="E52" s="13">
        <v>28959</v>
      </c>
      <c r="F52" s="13">
        <v>11929</v>
      </c>
      <c r="G52" s="18">
        <f>E52+F52</f>
        <v>40888</v>
      </c>
      <c r="H52" s="20">
        <f>SUM(D52,G52)</f>
        <v>476201</v>
      </c>
    </row>
    <row r="53" spans="1:8" s="1" customFormat="1" ht="20.100000000000001" customHeight="1" x14ac:dyDescent="0.25">
      <c r="A53" s="318" t="s">
        <v>332</v>
      </c>
      <c r="B53" s="13">
        <v>0</v>
      </c>
      <c r="C53" s="13">
        <v>0</v>
      </c>
      <c r="D53" s="14">
        <f>B53+C53</f>
        <v>0</v>
      </c>
      <c r="E53" s="13">
        <v>0</v>
      </c>
      <c r="F53" s="13">
        <v>0</v>
      </c>
      <c r="G53" s="18">
        <f>E53+F53</f>
        <v>0</v>
      </c>
      <c r="H53" s="20">
        <f>SUM(D53,G53)</f>
        <v>0</v>
      </c>
    </row>
    <row r="54" spans="1:8" s="1" customFormat="1" ht="20.100000000000001" customHeight="1" x14ac:dyDescent="0.25">
      <c r="A54" s="318" t="s">
        <v>333</v>
      </c>
      <c r="B54" s="101">
        <v>0</v>
      </c>
      <c r="C54" s="101">
        <v>0</v>
      </c>
      <c r="D54" s="102">
        <f t="shared" ref="D54:D55" si="25">B54+C54</f>
        <v>0</v>
      </c>
      <c r="E54" s="101">
        <v>957528</v>
      </c>
      <c r="F54" s="101">
        <v>0</v>
      </c>
      <c r="G54" s="19">
        <f t="shared" ref="G54:G55" si="26">E54+F54</f>
        <v>957528</v>
      </c>
      <c r="H54" s="20">
        <f t="shared" ref="H54:H55" si="27">SUM(D54,G54)</f>
        <v>957528</v>
      </c>
    </row>
    <row r="55" spans="1:8" s="1" customFormat="1" ht="20.100000000000001" customHeight="1" x14ac:dyDescent="0.25">
      <c r="A55" s="318" t="s">
        <v>334</v>
      </c>
      <c r="B55" s="101">
        <v>0</v>
      </c>
      <c r="C55" s="101">
        <v>0</v>
      </c>
      <c r="D55" s="102">
        <f t="shared" si="25"/>
        <v>0</v>
      </c>
      <c r="E55" s="101">
        <v>20592</v>
      </c>
      <c r="F55" s="101">
        <v>0</v>
      </c>
      <c r="G55" s="19">
        <f t="shared" si="26"/>
        <v>20592</v>
      </c>
      <c r="H55" s="20">
        <f t="shared" si="27"/>
        <v>20592</v>
      </c>
    </row>
    <row r="56" spans="1:8" s="1" customFormat="1" ht="20.100000000000001" customHeight="1" x14ac:dyDescent="0.25">
      <c r="A56" s="28" t="s">
        <v>335</v>
      </c>
      <c r="B56" s="101">
        <v>0</v>
      </c>
      <c r="C56" s="101">
        <v>0</v>
      </c>
      <c r="D56" s="102">
        <f t="shared" ref="D56" si="28">B56+C56</f>
        <v>0</v>
      </c>
      <c r="E56" s="101">
        <v>0</v>
      </c>
      <c r="F56" s="101">
        <v>0</v>
      </c>
      <c r="G56" s="19">
        <f t="shared" ref="G56" si="29">E56+F56</f>
        <v>0</v>
      </c>
      <c r="H56" s="20">
        <f t="shared" ref="H56" si="30">SUM(D56,G56)</f>
        <v>0</v>
      </c>
    </row>
    <row r="57" spans="1:8" s="1" customFormat="1" ht="20.100000000000001" customHeight="1" x14ac:dyDescent="0.25">
      <c r="A57" s="318" t="s">
        <v>336</v>
      </c>
      <c r="B57" s="101">
        <v>0</v>
      </c>
      <c r="C57" s="101">
        <v>0</v>
      </c>
      <c r="D57" s="102">
        <f t="shared" ref="D57:D67" si="31">B57+C57</f>
        <v>0</v>
      </c>
      <c r="E57" s="101">
        <v>0</v>
      </c>
      <c r="F57" s="101">
        <v>0</v>
      </c>
      <c r="G57" s="19">
        <f t="shared" ref="G57:G67" si="32">E57+F57</f>
        <v>0</v>
      </c>
      <c r="H57" s="20">
        <f t="shared" ref="H57:H67" si="33">SUM(D57,G57)</f>
        <v>0</v>
      </c>
    </row>
    <row r="58" spans="1:8" s="1" customFormat="1" ht="20.100000000000001" customHeight="1" x14ac:dyDescent="0.25">
      <c r="A58" s="318" t="s">
        <v>337</v>
      </c>
      <c r="B58" s="101">
        <v>0</v>
      </c>
      <c r="C58" s="101">
        <v>0</v>
      </c>
      <c r="D58" s="102">
        <f t="shared" si="31"/>
        <v>0</v>
      </c>
      <c r="E58" s="101">
        <v>0</v>
      </c>
      <c r="F58" s="101">
        <v>0</v>
      </c>
      <c r="G58" s="19">
        <f t="shared" si="32"/>
        <v>0</v>
      </c>
      <c r="H58" s="20">
        <f t="shared" si="33"/>
        <v>0</v>
      </c>
    </row>
    <row r="59" spans="1:8" s="1" customFormat="1" ht="20.100000000000001" customHeight="1" x14ac:dyDescent="0.25">
      <c r="A59" s="318" t="s">
        <v>338</v>
      </c>
      <c r="B59" s="101">
        <v>0</v>
      </c>
      <c r="C59" s="101">
        <v>0</v>
      </c>
      <c r="D59" s="102">
        <f t="shared" si="31"/>
        <v>0</v>
      </c>
      <c r="E59" s="101">
        <v>0</v>
      </c>
      <c r="F59" s="101">
        <v>0</v>
      </c>
      <c r="G59" s="19">
        <f t="shared" si="32"/>
        <v>0</v>
      </c>
      <c r="H59" s="20">
        <f t="shared" si="33"/>
        <v>0</v>
      </c>
    </row>
    <row r="60" spans="1:8" s="1" customFormat="1" ht="20.100000000000001" customHeight="1" x14ac:dyDescent="0.25">
      <c r="A60" s="318" t="s">
        <v>339</v>
      </c>
      <c r="B60" s="101">
        <v>0</v>
      </c>
      <c r="C60" s="101">
        <v>0</v>
      </c>
      <c r="D60" s="102">
        <f t="shared" si="31"/>
        <v>0</v>
      </c>
      <c r="E60" s="101">
        <v>0</v>
      </c>
      <c r="F60" s="101">
        <v>0</v>
      </c>
      <c r="G60" s="19">
        <f t="shared" si="32"/>
        <v>0</v>
      </c>
      <c r="H60" s="20">
        <f t="shared" si="33"/>
        <v>0</v>
      </c>
    </row>
    <row r="61" spans="1:8" s="1" customFormat="1" ht="20.100000000000001" customHeight="1" x14ac:dyDescent="0.25">
      <c r="A61" s="318" t="s">
        <v>340</v>
      </c>
      <c r="B61" s="101">
        <v>0</v>
      </c>
      <c r="C61" s="101">
        <v>0</v>
      </c>
      <c r="D61" s="102">
        <f t="shared" si="31"/>
        <v>0</v>
      </c>
      <c r="E61" s="101">
        <v>0</v>
      </c>
      <c r="F61" s="101">
        <v>0</v>
      </c>
      <c r="G61" s="19">
        <f t="shared" si="32"/>
        <v>0</v>
      </c>
      <c r="H61" s="20">
        <f t="shared" si="33"/>
        <v>0</v>
      </c>
    </row>
    <row r="62" spans="1:8" s="1" customFormat="1" ht="20.100000000000001" customHeight="1" x14ac:dyDescent="0.25">
      <c r="A62" s="318" t="s">
        <v>341</v>
      </c>
      <c r="B62" s="101">
        <v>0</v>
      </c>
      <c r="C62" s="101">
        <v>0</v>
      </c>
      <c r="D62" s="102">
        <f t="shared" si="31"/>
        <v>0</v>
      </c>
      <c r="E62" s="101">
        <v>0</v>
      </c>
      <c r="F62" s="101">
        <v>0</v>
      </c>
      <c r="G62" s="19">
        <f t="shared" si="32"/>
        <v>0</v>
      </c>
      <c r="H62" s="20">
        <f t="shared" si="33"/>
        <v>0</v>
      </c>
    </row>
    <row r="63" spans="1:8" s="1" customFormat="1" ht="20.100000000000001" customHeight="1" x14ac:dyDescent="0.25">
      <c r="A63" s="318" t="s">
        <v>342</v>
      </c>
      <c r="B63" s="101">
        <v>44600</v>
      </c>
      <c r="C63" s="101">
        <v>0</v>
      </c>
      <c r="D63" s="102">
        <f t="shared" si="31"/>
        <v>44600</v>
      </c>
      <c r="E63" s="101">
        <v>0</v>
      </c>
      <c r="F63" s="101">
        <v>0</v>
      </c>
      <c r="G63" s="19">
        <f t="shared" si="32"/>
        <v>0</v>
      </c>
      <c r="H63" s="20">
        <f t="shared" si="33"/>
        <v>44600</v>
      </c>
    </row>
    <row r="64" spans="1:8" s="1" customFormat="1" ht="20.100000000000001" customHeight="1" x14ac:dyDescent="0.25">
      <c r="A64" s="318" t="s">
        <v>343</v>
      </c>
      <c r="B64" s="101">
        <v>0</v>
      </c>
      <c r="C64" s="101">
        <v>0</v>
      </c>
      <c r="D64" s="102">
        <f t="shared" si="31"/>
        <v>0</v>
      </c>
      <c r="E64" s="101">
        <v>0</v>
      </c>
      <c r="F64" s="101">
        <v>0</v>
      </c>
      <c r="G64" s="19">
        <f t="shared" si="32"/>
        <v>0</v>
      </c>
      <c r="H64" s="20">
        <f t="shared" si="33"/>
        <v>0</v>
      </c>
    </row>
    <row r="65" spans="1:8" s="1" customFormat="1" ht="20.100000000000001" customHeight="1" x14ac:dyDescent="0.25">
      <c r="A65" s="318" t="s">
        <v>344</v>
      </c>
      <c r="B65" s="101">
        <v>93913</v>
      </c>
      <c r="C65" s="101">
        <v>0</v>
      </c>
      <c r="D65" s="102">
        <f t="shared" si="31"/>
        <v>93913</v>
      </c>
      <c r="E65" s="101">
        <v>0</v>
      </c>
      <c r="F65" s="101">
        <v>0</v>
      </c>
      <c r="G65" s="19">
        <f t="shared" si="32"/>
        <v>0</v>
      </c>
      <c r="H65" s="20">
        <f t="shared" si="33"/>
        <v>93913</v>
      </c>
    </row>
    <row r="66" spans="1:8" s="1" customFormat="1" ht="20.100000000000001" customHeight="1" x14ac:dyDescent="0.25">
      <c r="A66" s="318" t="s">
        <v>345</v>
      </c>
      <c r="B66" s="101">
        <v>10957</v>
      </c>
      <c r="C66" s="101">
        <v>0</v>
      </c>
      <c r="D66" s="102">
        <f t="shared" si="31"/>
        <v>10957</v>
      </c>
      <c r="E66" s="101">
        <v>2618</v>
      </c>
      <c r="F66" s="101">
        <v>0</v>
      </c>
      <c r="G66" s="19">
        <f t="shared" si="32"/>
        <v>2618</v>
      </c>
      <c r="H66" s="20">
        <f t="shared" si="33"/>
        <v>13575</v>
      </c>
    </row>
    <row r="67" spans="1:8" s="1" customFormat="1" ht="20.100000000000001" customHeight="1" x14ac:dyDescent="0.25">
      <c r="A67" s="318" t="s">
        <v>346</v>
      </c>
      <c r="B67" s="101">
        <v>0</v>
      </c>
      <c r="C67" s="101">
        <v>0</v>
      </c>
      <c r="D67" s="102">
        <f t="shared" si="31"/>
        <v>0</v>
      </c>
      <c r="E67" s="101">
        <v>0</v>
      </c>
      <c r="F67" s="101">
        <v>0</v>
      </c>
      <c r="G67" s="19">
        <f t="shared" si="32"/>
        <v>0</v>
      </c>
      <c r="H67" s="20">
        <f t="shared" si="33"/>
        <v>0</v>
      </c>
    </row>
    <row r="68" spans="1:8" s="1" customFormat="1" ht="20.100000000000001" customHeight="1" thickBot="1" x14ac:dyDescent="0.3">
      <c r="A68" s="16" t="s">
        <v>153</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3">
      <c r="A69" s="546"/>
      <c r="B69" s="547"/>
      <c r="C69" s="547"/>
      <c r="D69" s="547"/>
      <c r="E69" s="547"/>
      <c r="F69" s="547"/>
      <c r="G69" s="547"/>
      <c r="H69" s="547"/>
    </row>
    <row r="70" spans="1:8" s="1" customFormat="1" ht="20.100000000000001" customHeight="1" x14ac:dyDescent="0.25">
      <c r="A70" s="554" t="s">
        <v>349</v>
      </c>
      <c r="B70" s="555"/>
      <c r="C70" s="555"/>
      <c r="D70" s="555"/>
      <c r="E70" s="555"/>
      <c r="F70" s="555"/>
      <c r="G70" s="555"/>
      <c r="H70" s="556"/>
    </row>
    <row r="71" spans="1:8" s="1" customFormat="1" ht="20.100000000000001" customHeight="1" x14ac:dyDescent="0.25">
      <c r="A71" s="549" t="s">
        <v>327</v>
      </c>
      <c r="B71" s="524" t="s">
        <v>328</v>
      </c>
      <c r="C71" s="524"/>
      <c r="D71" s="524"/>
      <c r="E71" s="524" t="s">
        <v>329</v>
      </c>
      <c r="F71" s="524"/>
      <c r="G71" s="524"/>
      <c r="H71" s="545" t="s">
        <v>153</v>
      </c>
    </row>
    <row r="72" spans="1:8" s="1" customFormat="1" ht="20.100000000000001" customHeight="1" thickBot="1" x14ac:dyDescent="0.3">
      <c r="A72" s="550"/>
      <c r="B72" s="317" t="s">
        <v>330</v>
      </c>
      <c r="C72" s="317" t="s">
        <v>331</v>
      </c>
      <c r="D72" s="317" t="s">
        <v>153</v>
      </c>
      <c r="E72" s="317" t="s">
        <v>330</v>
      </c>
      <c r="F72" s="317" t="s">
        <v>331</v>
      </c>
      <c r="G72" s="317" t="s">
        <v>153</v>
      </c>
      <c r="H72" s="545"/>
    </row>
    <row r="73" spans="1:8" s="1" customFormat="1" ht="20.100000000000001" customHeight="1" x14ac:dyDescent="0.25">
      <c r="A73" s="21" t="s">
        <v>145</v>
      </c>
      <c r="B73" s="13">
        <v>370448</v>
      </c>
      <c r="C73" s="13">
        <v>82277</v>
      </c>
      <c r="D73" s="14">
        <f>B73+C73</f>
        <v>452725</v>
      </c>
      <c r="E73" s="13">
        <v>30117</v>
      </c>
      <c r="F73" s="13">
        <v>12406</v>
      </c>
      <c r="G73" s="18">
        <f>E73+F73</f>
        <v>42523</v>
      </c>
      <c r="H73" s="20">
        <f>SUM(D73,G73)</f>
        <v>495248</v>
      </c>
    </row>
    <row r="74" spans="1:8" s="1" customFormat="1" ht="20.100000000000001" customHeight="1" x14ac:dyDescent="0.25">
      <c r="A74" s="318" t="s">
        <v>332</v>
      </c>
      <c r="B74" s="13">
        <v>0</v>
      </c>
      <c r="C74" s="13">
        <v>0</v>
      </c>
      <c r="D74" s="14">
        <f>B74+C74</f>
        <v>0</v>
      </c>
      <c r="E74" s="13">
        <v>0</v>
      </c>
      <c r="F74" s="13">
        <v>0</v>
      </c>
      <c r="G74" s="18">
        <f>E74+F74</f>
        <v>0</v>
      </c>
      <c r="H74" s="20">
        <f>SUM(D74,G74)</f>
        <v>0</v>
      </c>
    </row>
    <row r="75" spans="1:8" s="1" customFormat="1" ht="20.100000000000001" customHeight="1" x14ac:dyDescent="0.25">
      <c r="A75" s="318" t="s">
        <v>333</v>
      </c>
      <c r="B75" s="101">
        <v>0</v>
      </c>
      <c r="C75" s="101">
        <v>0</v>
      </c>
      <c r="D75" s="102">
        <f t="shared" ref="D75:D88" si="40">B75+C75</f>
        <v>0</v>
      </c>
      <c r="E75" s="101">
        <v>995829</v>
      </c>
      <c r="F75" s="101">
        <v>0</v>
      </c>
      <c r="G75" s="19">
        <f t="shared" ref="G75:G88" si="41">E75+F75</f>
        <v>995829</v>
      </c>
      <c r="H75" s="20">
        <f t="shared" ref="H75:H88" si="42">SUM(D75,G75)</f>
        <v>995829</v>
      </c>
    </row>
    <row r="76" spans="1:8" s="1" customFormat="1" ht="20.100000000000001" customHeight="1" x14ac:dyDescent="0.25">
      <c r="A76" s="318" t="s">
        <v>334</v>
      </c>
      <c r="B76" s="101">
        <v>0</v>
      </c>
      <c r="C76" s="101">
        <v>0</v>
      </c>
      <c r="D76" s="102">
        <f t="shared" si="40"/>
        <v>0</v>
      </c>
      <c r="E76" s="101">
        <v>21416</v>
      </c>
      <c r="F76" s="101">
        <v>0</v>
      </c>
      <c r="G76" s="19">
        <f t="shared" si="41"/>
        <v>21416</v>
      </c>
      <c r="H76" s="20">
        <f t="shared" si="42"/>
        <v>21416</v>
      </c>
    </row>
    <row r="77" spans="1:8" s="1" customFormat="1" ht="20.100000000000001" customHeight="1" x14ac:dyDescent="0.25">
      <c r="A77" s="28" t="s">
        <v>335</v>
      </c>
      <c r="B77" s="101">
        <v>0</v>
      </c>
      <c r="C77" s="101">
        <v>0</v>
      </c>
      <c r="D77" s="102">
        <f t="shared" si="40"/>
        <v>0</v>
      </c>
      <c r="E77" s="101">
        <v>0</v>
      </c>
      <c r="F77" s="101">
        <v>0</v>
      </c>
      <c r="G77" s="19">
        <f t="shared" si="41"/>
        <v>0</v>
      </c>
      <c r="H77" s="20">
        <f t="shared" si="42"/>
        <v>0</v>
      </c>
    </row>
    <row r="78" spans="1:8" s="1" customFormat="1" ht="20.100000000000001" customHeight="1" x14ac:dyDescent="0.25">
      <c r="A78" s="318" t="s">
        <v>336</v>
      </c>
      <c r="B78" s="101">
        <v>0</v>
      </c>
      <c r="C78" s="101">
        <v>0</v>
      </c>
      <c r="D78" s="102">
        <f t="shared" si="40"/>
        <v>0</v>
      </c>
      <c r="E78" s="101">
        <v>0</v>
      </c>
      <c r="F78" s="101">
        <v>0</v>
      </c>
      <c r="G78" s="19">
        <f t="shared" si="41"/>
        <v>0</v>
      </c>
      <c r="H78" s="20">
        <f t="shared" si="42"/>
        <v>0</v>
      </c>
    </row>
    <row r="79" spans="1:8" s="1" customFormat="1" ht="20.100000000000001" customHeight="1" x14ac:dyDescent="0.25">
      <c r="A79" s="318" t="s">
        <v>337</v>
      </c>
      <c r="B79" s="101">
        <v>0</v>
      </c>
      <c r="C79" s="101">
        <v>0</v>
      </c>
      <c r="D79" s="102">
        <f t="shared" si="40"/>
        <v>0</v>
      </c>
      <c r="E79" s="101">
        <v>0</v>
      </c>
      <c r="F79" s="101">
        <v>0</v>
      </c>
      <c r="G79" s="19">
        <f t="shared" si="41"/>
        <v>0</v>
      </c>
      <c r="H79" s="20">
        <f t="shared" si="42"/>
        <v>0</v>
      </c>
    </row>
    <row r="80" spans="1:8" s="1" customFormat="1" ht="20.100000000000001" customHeight="1" x14ac:dyDescent="0.25">
      <c r="A80" s="318" t="s">
        <v>338</v>
      </c>
      <c r="B80" s="101">
        <v>0</v>
      </c>
      <c r="C80" s="101">
        <v>0</v>
      </c>
      <c r="D80" s="102">
        <f t="shared" si="40"/>
        <v>0</v>
      </c>
      <c r="E80" s="101">
        <v>0</v>
      </c>
      <c r="F80" s="101">
        <v>0</v>
      </c>
      <c r="G80" s="19">
        <f t="shared" si="41"/>
        <v>0</v>
      </c>
      <c r="H80" s="20">
        <f t="shared" si="42"/>
        <v>0</v>
      </c>
    </row>
    <row r="81" spans="1:8" s="1" customFormat="1" ht="20.100000000000001" customHeight="1" x14ac:dyDescent="0.25">
      <c r="A81" s="318" t="s">
        <v>339</v>
      </c>
      <c r="B81" s="101">
        <v>0</v>
      </c>
      <c r="C81" s="101">
        <v>0</v>
      </c>
      <c r="D81" s="102">
        <f t="shared" si="40"/>
        <v>0</v>
      </c>
      <c r="E81" s="101">
        <v>0</v>
      </c>
      <c r="F81" s="101">
        <v>0</v>
      </c>
      <c r="G81" s="19">
        <f t="shared" si="41"/>
        <v>0</v>
      </c>
      <c r="H81" s="20">
        <f t="shared" si="42"/>
        <v>0</v>
      </c>
    </row>
    <row r="82" spans="1:8" s="1" customFormat="1" ht="20.100000000000001" customHeight="1" x14ac:dyDescent="0.25">
      <c r="A82" s="318" t="s">
        <v>340</v>
      </c>
      <c r="B82" s="101">
        <v>0</v>
      </c>
      <c r="C82" s="101">
        <v>0</v>
      </c>
      <c r="D82" s="102">
        <f t="shared" si="40"/>
        <v>0</v>
      </c>
      <c r="E82" s="101">
        <v>0</v>
      </c>
      <c r="F82" s="101">
        <v>0</v>
      </c>
      <c r="G82" s="19">
        <f t="shared" si="41"/>
        <v>0</v>
      </c>
      <c r="H82" s="20">
        <f t="shared" si="42"/>
        <v>0</v>
      </c>
    </row>
    <row r="83" spans="1:8" s="1" customFormat="1" ht="20.100000000000001" customHeight="1" x14ac:dyDescent="0.25">
      <c r="A83" s="318" t="s">
        <v>341</v>
      </c>
      <c r="B83" s="101">
        <v>0</v>
      </c>
      <c r="C83" s="101">
        <v>0</v>
      </c>
      <c r="D83" s="102">
        <f t="shared" si="40"/>
        <v>0</v>
      </c>
      <c r="E83" s="101">
        <v>0</v>
      </c>
      <c r="F83" s="101">
        <v>0</v>
      </c>
      <c r="G83" s="19">
        <f t="shared" si="41"/>
        <v>0</v>
      </c>
      <c r="H83" s="20">
        <f t="shared" si="42"/>
        <v>0</v>
      </c>
    </row>
    <row r="84" spans="1:8" s="1" customFormat="1" ht="20.100000000000001" customHeight="1" x14ac:dyDescent="0.25">
      <c r="A84" s="318" t="s">
        <v>342</v>
      </c>
      <c r="B84" s="101">
        <v>46384</v>
      </c>
      <c r="C84" s="101">
        <v>0</v>
      </c>
      <c r="D84" s="102">
        <f t="shared" si="40"/>
        <v>46384</v>
      </c>
      <c r="E84" s="101">
        <v>0</v>
      </c>
      <c r="F84" s="101">
        <v>0</v>
      </c>
      <c r="G84" s="19">
        <f t="shared" si="41"/>
        <v>0</v>
      </c>
      <c r="H84" s="20">
        <f t="shared" si="42"/>
        <v>46384</v>
      </c>
    </row>
    <row r="85" spans="1:8" s="1" customFormat="1" ht="20.100000000000001" customHeight="1" x14ac:dyDescent="0.25">
      <c r="A85" s="318" t="s">
        <v>343</v>
      </c>
      <c r="B85" s="101">
        <v>0</v>
      </c>
      <c r="C85" s="101">
        <v>0</v>
      </c>
      <c r="D85" s="102">
        <f t="shared" si="40"/>
        <v>0</v>
      </c>
      <c r="E85" s="101">
        <v>0</v>
      </c>
      <c r="F85" s="101">
        <v>0</v>
      </c>
      <c r="G85" s="19">
        <f t="shared" si="41"/>
        <v>0</v>
      </c>
      <c r="H85" s="20">
        <f t="shared" si="42"/>
        <v>0</v>
      </c>
    </row>
    <row r="86" spans="1:8" s="1" customFormat="1" ht="20.100000000000001" customHeight="1" x14ac:dyDescent="0.25">
      <c r="A86" s="318" t="s">
        <v>344</v>
      </c>
      <c r="B86" s="101">
        <v>97670</v>
      </c>
      <c r="C86" s="101">
        <v>0</v>
      </c>
      <c r="D86" s="102">
        <f t="shared" si="40"/>
        <v>97670</v>
      </c>
      <c r="E86" s="101">
        <v>0</v>
      </c>
      <c r="F86" s="101">
        <v>0</v>
      </c>
      <c r="G86" s="19">
        <f t="shared" si="41"/>
        <v>0</v>
      </c>
      <c r="H86" s="20">
        <f t="shared" si="42"/>
        <v>97670</v>
      </c>
    </row>
    <row r="87" spans="1:8" s="1" customFormat="1" ht="20.100000000000001" customHeight="1" x14ac:dyDescent="0.25">
      <c r="A87" s="318" t="s">
        <v>345</v>
      </c>
      <c r="B87" s="101">
        <v>11396</v>
      </c>
      <c r="C87" s="101">
        <v>0</v>
      </c>
      <c r="D87" s="102">
        <f t="shared" si="40"/>
        <v>11396</v>
      </c>
      <c r="E87" s="101">
        <v>2722</v>
      </c>
      <c r="F87" s="101">
        <v>0</v>
      </c>
      <c r="G87" s="19">
        <f t="shared" si="41"/>
        <v>2722</v>
      </c>
      <c r="H87" s="20">
        <f t="shared" si="42"/>
        <v>14118</v>
      </c>
    </row>
    <row r="88" spans="1:8" s="1" customFormat="1" ht="20.100000000000001" customHeight="1" x14ac:dyDescent="0.25">
      <c r="A88" s="318" t="s">
        <v>346</v>
      </c>
      <c r="B88" s="101">
        <v>0</v>
      </c>
      <c r="C88" s="101">
        <v>0</v>
      </c>
      <c r="D88" s="102">
        <f t="shared" si="40"/>
        <v>0</v>
      </c>
      <c r="E88" s="101">
        <v>0</v>
      </c>
      <c r="F88" s="101">
        <v>0</v>
      </c>
      <c r="G88" s="19">
        <f t="shared" si="41"/>
        <v>0</v>
      </c>
      <c r="H88" s="20">
        <f t="shared" si="42"/>
        <v>0</v>
      </c>
    </row>
    <row r="89" spans="1:8" s="1" customFormat="1" ht="20.100000000000001" customHeight="1" thickBot="1" x14ac:dyDescent="0.3">
      <c r="A89" s="16" t="s">
        <v>153</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3">
      <c r="A90" s="546"/>
      <c r="B90" s="547"/>
      <c r="C90" s="547"/>
      <c r="D90" s="547"/>
      <c r="E90" s="547"/>
      <c r="F90" s="547"/>
      <c r="G90" s="547"/>
      <c r="H90" s="547"/>
    </row>
    <row r="91" spans="1:8" s="1" customFormat="1" ht="20.100000000000001" customHeight="1" x14ac:dyDescent="0.25">
      <c r="A91" s="554" t="s">
        <v>350</v>
      </c>
      <c r="B91" s="555"/>
      <c r="C91" s="555"/>
      <c r="D91" s="555"/>
      <c r="E91" s="555"/>
      <c r="F91" s="555"/>
      <c r="G91" s="555"/>
      <c r="H91" s="556"/>
    </row>
    <row r="92" spans="1:8" s="1" customFormat="1" ht="20.100000000000001" customHeight="1" x14ac:dyDescent="0.25">
      <c r="A92" s="543" t="s">
        <v>327</v>
      </c>
      <c r="B92" s="524" t="s">
        <v>328</v>
      </c>
      <c r="C92" s="524"/>
      <c r="D92" s="524"/>
      <c r="E92" s="524" t="s">
        <v>329</v>
      </c>
      <c r="F92" s="524"/>
      <c r="G92" s="524"/>
      <c r="H92" s="545" t="s">
        <v>153</v>
      </c>
    </row>
    <row r="93" spans="1:8" s="1" customFormat="1" ht="20.100000000000001" customHeight="1" x14ac:dyDescent="0.25">
      <c r="A93" s="584"/>
      <c r="B93" s="317" t="s">
        <v>330</v>
      </c>
      <c r="C93" s="317" t="s">
        <v>331</v>
      </c>
      <c r="D93" s="317" t="s">
        <v>153</v>
      </c>
      <c r="E93" s="317" t="s">
        <v>330</v>
      </c>
      <c r="F93" s="317" t="s">
        <v>331</v>
      </c>
      <c r="G93" s="317" t="s">
        <v>153</v>
      </c>
      <c r="H93" s="545"/>
    </row>
    <row r="94" spans="1:8" s="1" customFormat="1" ht="20.100000000000001" customHeight="1" x14ac:dyDescent="0.25">
      <c r="A94" s="21" t="s">
        <v>145</v>
      </c>
      <c r="B94" s="13">
        <v>385266</v>
      </c>
      <c r="C94" s="13">
        <v>85568</v>
      </c>
      <c r="D94" s="14">
        <f>B94+C94</f>
        <v>470834</v>
      </c>
      <c r="E94" s="13">
        <v>31322</v>
      </c>
      <c r="F94" s="13">
        <v>12902</v>
      </c>
      <c r="G94" s="18">
        <f>E94+F94</f>
        <v>44224</v>
      </c>
      <c r="H94" s="20">
        <f>SUM(D94,G94)</f>
        <v>515058</v>
      </c>
    </row>
    <row r="95" spans="1:8" s="1" customFormat="1" ht="20.100000000000001" customHeight="1" x14ac:dyDescent="0.25">
      <c r="A95" s="318" t="s">
        <v>332</v>
      </c>
      <c r="B95" s="13">
        <v>0</v>
      </c>
      <c r="C95" s="13">
        <v>0</v>
      </c>
      <c r="D95" s="14">
        <f>B95+C95</f>
        <v>0</v>
      </c>
      <c r="E95" s="13">
        <v>0</v>
      </c>
      <c r="F95" s="13">
        <v>0</v>
      </c>
      <c r="G95" s="18">
        <f>E95+F95</f>
        <v>0</v>
      </c>
      <c r="H95" s="20">
        <f>SUM(D95,G95)</f>
        <v>0</v>
      </c>
    </row>
    <row r="96" spans="1:8" s="1" customFormat="1" ht="20.100000000000001" customHeight="1" x14ac:dyDescent="0.25">
      <c r="A96" s="318" t="s">
        <v>333</v>
      </c>
      <c r="B96" s="101">
        <v>0</v>
      </c>
      <c r="C96" s="101">
        <v>0</v>
      </c>
      <c r="D96" s="102">
        <f t="shared" ref="D96:D109" si="49">B96+C96</f>
        <v>0</v>
      </c>
      <c r="E96" s="101">
        <v>1035662</v>
      </c>
      <c r="F96" s="101">
        <v>0</v>
      </c>
      <c r="G96" s="19">
        <f t="shared" ref="G96:G109" si="50">E96+F96</f>
        <v>1035662</v>
      </c>
      <c r="H96" s="20">
        <f t="shared" ref="H96:H109" si="51">SUM(D96,G96)</f>
        <v>1035662</v>
      </c>
    </row>
    <row r="97" spans="1:8" s="1" customFormat="1" ht="20.100000000000001" customHeight="1" x14ac:dyDescent="0.25">
      <c r="A97" s="318" t="s">
        <v>334</v>
      </c>
      <c r="B97" s="101">
        <v>0</v>
      </c>
      <c r="C97" s="101">
        <v>0</v>
      </c>
      <c r="D97" s="102">
        <f t="shared" si="49"/>
        <v>0</v>
      </c>
      <c r="E97" s="101">
        <v>22272</v>
      </c>
      <c r="F97" s="101">
        <v>0</v>
      </c>
      <c r="G97" s="19">
        <f t="shared" si="50"/>
        <v>22272</v>
      </c>
      <c r="H97" s="20">
        <f t="shared" si="51"/>
        <v>22272</v>
      </c>
    </row>
    <row r="98" spans="1:8" s="1" customFormat="1" ht="20.100000000000001" customHeight="1" x14ac:dyDescent="0.25">
      <c r="A98" s="28" t="s">
        <v>335</v>
      </c>
      <c r="B98" s="101">
        <v>0</v>
      </c>
      <c r="C98" s="101">
        <v>0</v>
      </c>
      <c r="D98" s="102">
        <f t="shared" si="49"/>
        <v>0</v>
      </c>
      <c r="E98" s="101">
        <v>0</v>
      </c>
      <c r="F98" s="101">
        <v>0</v>
      </c>
      <c r="G98" s="19">
        <f t="shared" si="50"/>
        <v>0</v>
      </c>
      <c r="H98" s="20">
        <f t="shared" si="51"/>
        <v>0</v>
      </c>
    </row>
    <row r="99" spans="1:8" s="1" customFormat="1" ht="20.100000000000001" customHeight="1" x14ac:dyDescent="0.25">
      <c r="A99" s="318" t="s">
        <v>336</v>
      </c>
      <c r="B99" s="101">
        <v>0</v>
      </c>
      <c r="C99" s="101">
        <v>0</v>
      </c>
      <c r="D99" s="102">
        <f t="shared" si="49"/>
        <v>0</v>
      </c>
      <c r="E99" s="101">
        <v>0</v>
      </c>
      <c r="F99" s="101">
        <v>0</v>
      </c>
      <c r="G99" s="19">
        <f t="shared" si="50"/>
        <v>0</v>
      </c>
      <c r="H99" s="20">
        <f t="shared" si="51"/>
        <v>0</v>
      </c>
    </row>
    <row r="100" spans="1:8" s="1" customFormat="1" ht="20.100000000000001" customHeight="1" x14ac:dyDescent="0.25">
      <c r="A100" s="318" t="s">
        <v>337</v>
      </c>
      <c r="B100" s="101">
        <v>0</v>
      </c>
      <c r="C100" s="101">
        <v>0</v>
      </c>
      <c r="D100" s="102">
        <f t="shared" si="49"/>
        <v>0</v>
      </c>
      <c r="E100" s="101">
        <v>0</v>
      </c>
      <c r="F100" s="101">
        <v>0</v>
      </c>
      <c r="G100" s="19">
        <f t="shared" si="50"/>
        <v>0</v>
      </c>
      <c r="H100" s="20">
        <f t="shared" si="51"/>
        <v>0</v>
      </c>
    </row>
    <row r="101" spans="1:8" s="1" customFormat="1" ht="20.100000000000001" customHeight="1" x14ac:dyDescent="0.25">
      <c r="A101" s="318" t="s">
        <v>338</v>
      </c>
      <c r="B101" s="101">
        <v>0</v>
      </c>
      <c r="C101" s="101">
        <v>0</v>
      </c>
      <c r="D101" s="102">
        <f t="shared" si="49"/>
        <v>0</v>
      </c>
      <c r="E101" s="101">
        <v>0</v>
      </c>
      <c r="F101" s="101">
        <v>0</v>
      </c>
      <c r="G101" s="19">
        <f t="shared" si="50"/>
        <v>0</v>
      </c>
      <c r="H101" s="20">
        <f t="shared" si="51"/>
        <v>0</v>
      </c>
    </row>
    <row r="102" spans="1:8" s="1" customFormat="1" ht="20.100000000000001" customHeight="1" x14ac:dyDescent="0.25">
      <c r="A102" s="318" t="s">
        <v>339</v>
      </c>
      <c r="B102" s="101">
        <v>0</v>
      </c>
      <c r="C102" s="101">
        <v>0</v>
      </c>
      <c r="D102" s="102">
        <f t="shared" si="49"/>
        <v>0</v>
      </c>
      <c r="E102" s="101">
        <v>0</v>
      </c>
      <c r="F102" s="101">
        <v>0</v>
      </c>
      <c r="G102" s="19">
        <f t="shared" si="50"/>
        <v>0</v>
      </c>
      <c r="H102" s="20">
        <f t="shared" si="51"/>
        <v>0</v>
      </c>
    </row>
    <row r="103" spans="1:8" s="1" customFormat="1" ht="20.100000000000001" customHeight="1" x14ac:dyDescent="0.25">
      <c r="A103" s="318" t="s">
        <v>340</v>
      </c>
      <c r="B103" s="101">
        <v>0</v>
      </c>
      <c r="C103" s="101">
        <v>0</v>
      </c>
      <c r="D103" s="102">
        <f t="shared" si="49"/>
        <v>0</v>
      </c>
      <c r="E103" s="101">
        <v>0</v>
      </c>
      <c r="F103" s="101">
        <v>0</v>
      </c>
      <c r="G103" s="19">
        <f t="shared" si="50"/>
        <v>0</v>
      </c>
      <c r="H103" s="20">
        <f t="shared" si="51"/>
        <v>0</v>
      </c>
    </row>
    <row r="104" spans="1:8" s="1" customFormat="1" ht="20.100000000000001" customHeight="1" x14ac:dyDescent="0.25">
      <c r="A104" s="318" t="s">
        <v>341</v>
      </c>
      <c r="B104" s="101">
        <v>0</v>
      </c>
      <c r="C104" s="101">
        <v>0</v>
      </c>
      <c r="D104" s="102">
        <f t="shared" si="49"/>
        <v>0</v>
      </c>
      <c r="E104" s="101">
        <v>0</v>
      </c>
      <c r="F104" s="101">
        <v>0</v>
      </c>
      <c r="G104" s="19">
        <f t="shared" si="50"/>
        <v>0</v>
      </c>
      <c r="H104" s="20">
        <f t="shared" si="51"/>
        <v>0</v>
      </c>
    </row>
    <row r="105" spans="1:8" s="1" customFormat="1" ht="20.100000000000001" customHeight="1" x14ac:dyDescent="0.25">
      <c r="A105" s="318" t="s">
        <v>342</v>
      </c>
      <c r="B105" s="101">
        <v>48240</v>
      </c>
      <c r="C105" s="101">
        <v>0</v>
      </c>
      <c r="D105" s="102">
        <f t="shared" si="49"/>
        <v>48240</v>
      </c>
      <c r="E105" s="101">
        <v>0</v>
      </c>
      <c r="F105" s="101">
        <v>0</v>
      </c>
      <c r="G105" s="19">
        <f t="shared" si="50"/>
        <v>0</v>
      </c>
      <c r="H105" s="20">
        <f t="shared" si="51"/>
        <v>48240</v>
      </c>
    </row>
    <row r="106" spans="1:8" s="1" customFormat="1" ht="20.100000000000001" customHeight="1" x14ac:dyDescent="0.25">
      <c r="A106" s="318" t="s">
        <v>343</v>
      </c>
      <c r="B106" s="101">
        <v>0</v>
      </c>
      <c r="C106" s="101">
        <v>0</v>
      </c>
      <c r="D106" s="102">
        <f t="shared" si="49"/>
        <v>0</v>
      </c>
      <c r="E106" s="101">
        <v>0</v>
      </c>
      <c r="F106" s="101">
        <v>0</v>
      </c>
      <c r="G106" s="19">
        <f t="shared" si="50"/>
        <v>0</v>
      </c>
      <c r="H106" s="20">
        <f t="shared" si="51"/>
        <v>0</v>
      </c>
    </row>
    <row r="107" spans="1:8" s="1" customFormat="1" ht="20.100000000000001" customHeight="1" x14ac:dyDescent="0.25">
      <c r="A107" s="318" t="s">
        <v>344</v>
      </c>
      <c r="B107" s="101">
        <v>101576</v>
      </c>
      <c r="C107" s="101">
        <v>0</v>
      </c>
      <c r="D107" s="102">
        <f t="shared" si="49"/>
        <v>101576</v>
      </c>
      <c r="E107" s="101">
        <v>0</v>
      </c>
      <c r="F107" s="101">
        <v>0</v>
      </c>
      <c r="G107" s="19">
        <f t="shared" si="50"/>
        <v>0</v>
      </c>
      <c r="H107" s="20">
        <f t="shared" si="51"/>
        <v>101576</v>
      </c>
    </row>
    <row r="108" spans="1:8" s="1" customFormat="1" ht="20.100000000000001" customHeight="1" x14ac:dyDescent="0.25">
      <c r="A108" s="318" t="s">
        <v>345</v>
      </c>
      <c r="B108" s="101">
        <v>11852</v>
      </c>
      <c r="C108" s="101">
        <v>0</v>
      </c>
      <c r="D108" s="102">
        <f t="shared" si="49"/>
        <v>11852</v>
      </c>
      <c r="E108" s="101">
        <v>2831</v>
      </c>
      <c r="F108" s="101">
        <v>0</v>
      </c>
      <c r="G108" s="19">
        <f t="shared" si="50"/>
        <v>2831</v>
      </c>
      <c r="H108" s="20">
        <f t="shared" si="51"/>
        <v>14683</v>
      </c>
    </row>
    <row r="109" spans="1:8" s="1" customFormat="1" ht="20.100000000000001" customHeight="1" x14ac:dyDescent="0.25">
      <c r="A109" s="318" t="s">
        <v>346</v>
      </c>
      <c r="B109" s="101">
        <v>0</v>
      </c>
      <c r="C109" s="101">
        <v>0</v>
      </c>
      <c r="D109" s="102">
        <f t="shared" si="49"/>
        <v>0</v>
      </c>
      <c r="E109" s="101">
        <v>0</v>
      </c>
      <c r="F109" s="101">
        <v>0</v>
      </c>
      <c r="G109" s="19">
        <f t="shared" si="50"/>
        <v>0</v>
      </c>
      <c r="H109" s="20">
        <f t="shared" si="51"/>
        <v>0</v>
      </c>
    </row>
    <row r="110" spans="1:8" s="1" customFormat="1" ht="20.100000000000001" customHeight="1" thickBot="1" x14ac:dyDescent="0.3">
      <c r="A110" s="16" t="s">
        <v>153</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5"/>
    <row r="112" spans="1:8" ht="20.100000000000001" customHeight="1" thickBot="1" x14ac:dyDescent="0.3"/>
    <row r="113" spans="1:14" s="1" customFormat="1" ht="20.100000000000001" customHeight="1" thickBot="1" x14ac:dyDescent="0.3">
      <c r="A113" s="531" t="s">
        <v>327</v>
      </c>
      <c r="B113" s="532"/>
      <c r="C113" s="532"/>
      <c r="D113" s="533"/>
      <c r="E113" s="22" t="s">
        <v>351</v>
      </c>
      <c r="F113" s="537" t="s">
        <v>352</v>
      </c>
      <c r="G113" s="538"/>
      <c r="H113" s="539"/>
    </row>
    <row r="114" spans="1:14" s="1" customFormat="1" ht="20.100000000000001" customHeight="1" x14ac:dyDescent="0.25">
      <c r="A114" s="534" t="s">
        <v>145</v>
      </c>
      <c r="B114" s="535"/>
      <c r="C114" s="535"/>
      <c r="D114" s="536"/>
      <c r="E114" s="26" t="s">
        <v>353</v>
      </c>
      <c r="F114" s="520" t="s">
        <v>354</v>
      </c>
      <c r="G114" s="521"/>
      <c r="H114" s="522"/>
    </row>
    <row r="115" spans="1:14" s="1" customFormat="1" ht="20.100000000000001" customHeight="1" x14ac:dyDescent="0.25">
      <c r="A115" s="528" t="s">
        <v>332</v>
      </c>
      <c r="B115" s="529"/>
      <c r="C115" s="529"/>
      <c r="D115" s="530"/>
      <c r="E115" s="26" t="s">
        <v>355</v>
      </c>
      <c r="F115" s="581" t="s">
        <v>356</v>
      </c>
      <c r="G115" s="582"/>
      <c r="H115" s="583"/>
      <c r="K115" s="523"/>
      <c r="L115" s="523"/>
      <c r="M115" s="523"/>
      <c r="N115" s="523"/>
    </row>
    <row r="116" spans="1:14" s="1" customFormat="1" ht="20.100000000000001" customHeight="1" x14ac:dyDescent="0.25">
      <c r="A116" s="525" t="s">
        <v>333</v>
      </c>
      <c r="B116" s="526"/>
      <c r="C116" s="526"/>
      <c r="D116" s="527"/>
      <c r="E116" s="26" t="s">
        <v>357</v>
      </c>
      <c r="F116" s="569" t="s">
        <v>358</v>
      </c>
      <c r="G116" s="570"/>
      <c r="H116" s="571"/>
      <c r="K116" s="319"/>
      <c r="L116" s="319"/>
      <c r="M116" s="319"/>
      <c r="N116" s="319"/>
    </row>
    <row r="117" spans="1:14" s="1" customFormat="1" ht="20.100000000000001" customHeight="1" x14ac:dyDescent="0.25">
      <c r="A117" s="525" t="s">
        <v>334</v>
      </c>
      <c r="B117" s="526"/>
      <c r="C117" s="526"/>
      <c r="D117" s="527"/>
      <c r="E117" s="26" t="s">
        <v>359</v>
      </c>
      <c r="F117" s="569" t="s">
        <v>360</v>
      </c>
      <c r="G117" s="570"/>
      <c r="H117" s="571"/>
      <c r="K117" s="319"/>
      <c r="L117" s="319"/>
      <c r="M117" s="319"/>
      <c r="N117" s="319"/>
    </row>
    <row r="118" spans="1:14" s="1" customFormat="1" ht="20.100000000000001" customHeight="1" x14ac:dyDescent="0.25">
      <c r="A118" s="514" t="s">
        <v>335</v>
      </c>
      <c r="B118" s="515"/>
      <c r="C118" s="515"/>
      <c r="D118" s="516"/>
      <c r="E118" s="26" t="s">
        <v>361</v>
      </c>
      <c r="F118" s="517" t="s">
        <v>362</v>
      </c>
      <c r="G118" s="518"/>
      <c r="H118" s="519"/>
      <c r="K118" s="319"/>
      <c r="L118" s="319"/>
      <c r="M118" s="319"/>
      <c r="N118" s="319"/>
    </row>
    <row r="119" spans="1:14" s="1" customFormat="1" ht="20.100000000000001" customHeight="1" x14ac:dyDescent="0.25">
      <c r="A119" s="525" t="s">
        <v>336</v>
      </c>
      <c r="B119" s="526"/>
      <c r="C119" s="526"/>
      <c r="D119" s="527"/>
      <c r="E119" s="26" t="s">
        <v>363</v>
      </c>
      <c r="F119" s="569" t="s">
        <v>364</v>
      </c>
      <c r="G119" s="570"/>
      <c r="H119" s="571"/>
      <c r="K119" s="319"/>
      <c r="L119" s="319"/>
      <c r="M119" s="319"/>
      <c r="N119" s="319"/>
    </row>
    <row r="120" spans="1:14" s="1" customFormat="1" ht="20.100000000000001" customHeight="1" x14ac:dyDescent="0.25">
      <c r="A120" s="525" t="s">
        <v>337</v>
      </c>
      <c r="B120" s="526"/>
      <c r="C120" s="526"/>
      <c r="D120" s="527"/>
      <c r="E120" s="26" t="s">
        <v>365</v>
      </c>
      <c r="F120" s="569" t="s">
        <v>366</v>
      </c>
      <c r="G120" s="570"/>
      <c r="H120" s="571"/>
      <c r="K120" s="319"/>
      <c r="L120" s="319"/>
      <c r="M120" s="319"/>
      <c r="N120" s="319"/>
    </row>
    <row r="121" spans="1:14" s="1" customFormat="1" ht="20.100000000000001" customHeight="1" x14ac:dyDescent="0.25">
      <c r="A121" s="525" t="s">
        <v>338</v>
      </c>
      <c r="B121" s="526"/>
      <c r="C121" s="526"/>
      <c r="D121" s="527"/>
      <c r="E121" s="26" t="s">
        <v>367</v>
      </c>
      <c r="F121" s="569" t="s">
        <v>368</v>
      </c>
      <c r="G121" s="570"/>
      <c r="H121" s="571"/>
      <c r="K121" s="319"/>
      <c r="L121" s="319"/>
      <c r="M121" s="319"/>
      <c r="N121" s="319"/>
    </row>
    <row r="122" spans="1:14" s="1" customFormat="1" ht="20.100000000000001" customHeight="1" x14ac:dyDescent="0.25">
      <c r="A122" s="525" t="s">
        <v>339</v>
      </c>
      <c r="B122" s="526"/>
      <c r="C122" s="526"/>
      <c r="D122" s="527"/>
      <c r="E122" s="26" t="s">
        <v>369</v>
      </c>
      <c r="F122" s="569" t="s">
        <v>370</v>
      </c>
      <c r="G122" s="570"/>
      <c r="H122" s="571"/>
      <c r="K122" s="319"/>
      <c r="L122" s="319"/>
      <c r="M122" s="319"/>
      <c r="N122" s="319"/>
    </row>
    <row r="123" spans="1:14" s="1" customFormat="1" ht="20.100000000000001" customHeight="1" x14ac:dyDescent="0.25">
      <c r="A123" s="525" t="s">
        <v>371</v>
      </c>
      <c r="B123" s="526"/>
      <c r="C123" s="526"/>
      <c r="D123" s="527"/>
      <c r="E123" s="27"/>
      <c r="F123" s="578"/>
      <c r="G123" s="579"/>
      <c r="H123" s="580"/>
      <c r="K123" s="319"/>
      <c r="L123" s="319"/>
      <c r="M123" s="319"/>
      <c r="N123" s="319"/>
    </row>
    <row r="124" spans="1:14" s="1" customFormat="1" ht="20.100000000000001" customHeight="1" x14ac:dyDescent="0.25">
      <c r="A124" s="557" t="s">
        <v>372</v>
      </c>
      <c r="B124" s="558"/>
      <c r="C124" s="558"/>
      <c r="D124" s="559"/>
      <c r="E124" s="26" t="s">
        <v>373</v>
      </c>
      <c r="F124" s="569" t="s">
        <v>374</v>
      </c>
      <c r="G124" s="570"/>
      <c r="H124" s="571"/>
      <c r="K124" s="23"/>
      <c r="L124" s="23"/>
      <c r="M124" s="23"/>
      <c r="N124" s="23"/>
    </row>
    <row r="125" spans="1:14" s="1" customFormat="1" ht="20.100000000000001" customHeight="1" x14ac:dyDescent="0.25">
      <c r="A125" s="557" t="s">
        <v>375</v>
      </c>
      <c r="B125" s="558"/>
      <c r="C125" s="558"/>
      <c r="D125" s="559"/>
      <c r="E125" s="26" t="s">
        <v>376</v>
      </c>
      <c r="F125" s="569" t="s">
        <v>377</v>
      </c>
      <c r="G125" s="570"/>
      <c r="H125" s="571"/>
      <c r="K125" s="23"/>
      <c r="L125" s="23"/>
      <c r="M125" s="23"/>
      <c r="N125" s="23"/>
    </row>
    <row r="126" spans="1:14" s="1" customFormat="1" ht="20.100000000000001" customHeight="1" x14ac:dyDescent="0.25">
      <c r="A126" s="557" t="s">
        <v>378</v>
      </c>
      <c r="B126" s="558"/>
      <c r="C126" s="558"/>
      <c r="D126" s="559"/>
      <c r="E126" s="26" t="s">
        <v>379</v>
      </c>
      <c r="F126" s="569" t="s">
        <v>380</v>
      </c>
      <c r="G126" s="570"/>
      <c r="H126" s="571"/>
      <c r="K126" s="23"/>
      <c r="L126" s="23"/>
      <c r="M126" s="23"/>
      <c r="N126" s="23"/>
    </row>
    <row r="127" spans="1:14" s="1" customFormat="1" ht="20.100000000000001" customHeight="1" x14ac:dyDescent="0.25">
      <c r="A127" s="525" t="s">
        <v>341</v>
      </c>
      <c r="B127" s="526"/>
      <c r="C127" s="526"/>
      <c r="D127" s="527"/>
      <c r="E127" s="27"/>
      <c r="F127" s="575"/>
      <c r="G127" s="576"/>
      <c r="H127" s="577"/>
      <c r="K127" s="319"/>
      <c r="L127" s="319"/>
      <c r="M127" s="319"/>
      <c r="N127" s="319"/>
    </row>
    <row r="128" spans="1:14" s="1" customFormat="1" ht="20.100000000000001" customHeight="1" x14ac:dyDescent="0.25">
      <c r="A128" s="557" t="s">
        <v>381</v>
      </c>
      <c r="B128" s="558"/>
      <c r="C128" s="558"/>
      <c r="D128" s="559"/>
      <c r="E128" s="26" t="s">
        <v>382</v>
      </c>
      <c r="F128" s="569" t="s">
        <v>383</v>
      </c>
      <c r="G128" s="570"/>
      <c r="H128" s="571"/>
      <c r="K128" s="23"/>
      <c r="L128" s="23"/>
      <c r="M128" s="23"/>
      <c r="N128" s="23"/>
    </row>
    <row r="129" spans="1:14" s="1" customFormat="1" ht="20.100000000000001" customHeight="1" x14ac:dyDescent="0.25">
      <c r="A129" s="557" t="s">
        <v>384</v>
      </c>
      <c r="B129" s="558"/>
      <c r="C129" s="558"/>
      <c r="D129" s="559"/>
      <c r="E129" s="26" t="s">
        <v>385</v>
      </c>
      <c r="F129" s="569" t="s">
        <v>386</v>
      </c>
      <c r="G129" s="570"/>
      <c r="H129" s="571"/>
      <c r="K129" s="23"/>
      <c r="L129" s="23"/>
      <c r="M129" s="23"/>
      <c r="N129" s="23"/>
    </row>
    <row r="130" spans="1:14" s="1" customFormat="1" ht="20.100000000000001" customHeight="1" x14ac:dyDescent="0.25">
      <c r="A130" s="557" t="s">
        <v>387</v>
      </c>
      <c r="B130" s="558"/>
      <c r="C130" s="558"/>
      <c r="D130" s="559"/>
      <c r="E130" s="26" t="s">
        <v>388</v>
      </c>
      <c r="F130" s="569" t="s">
        <v>389</v>
      </c>
      <c r="G130" s="570"/>
      <c r="H130" s="571"/>
      <c r="K130" s="23"/>
      <c r="L130" s="23"/>
      <c r="M130" s="23"/>
      <c r="N130" s="23"/>
    </row>
    <row r="131" spans="1:14" s="1" customFormat="1" ht="20.100000000000001" customHeight="1" x14ac:dyDescent="0.25">
      <c r="A131" s="563" t="s">
        <v>390</v>
      </c>
      <c r="B131" s="564"/>
      <c r="C131" s="564"/>
      <c r="D131" s="565"/>
      <c r="E131" s="26" t="s">
        <v>391</v>
      </c>
      <c r="F131" s="572" t="s">
        <v>392</v>
      </c>
      <c r="G131" s="573"/>
      <c r="H131" s="574"/>
      <c r="K131" s="24"/>
      <c r="L131" s="24"/>
      <c r="M131" s="24"/>
      <c r="N131" s="24"/>
    </row>
    <row r="132" spans="1:14" s="1" customFormat="1" ht="20.100000000000001" customHeight="1" x14ac:dyDescent="0.25">
      <c r="A132" s="525" t="s">
        <v>342</v>
      </c>
      <c r="B132" s="526"/>
      <c r="C132" s="526"/>
      <c r="D132" s="527"/>
      <c r="E132" s="26" t="s">
        <v>353</v>
      </c>
      <c r="F132" s="569" t="s">
        <v>393</v>
      </c>
      <c r="G132" s="570"/>
      <c r="H132" s="571"/>
      <c r="K132" s="319"/>
      <c r="L132" s="319"/>
      <c r="M132" s="319"/>
      <c r="N132" s="319"/>
    </row>
    <row r="133" spans="1:14" s="1" customFormat="1" ht="20.100000000000001" customHeight="1" x14ac:dyDescent="0.25">
      <c r="A133" s="525" t="s">
        <v>343</v>
      </c>
      <c r="B133" s="526"/>
      <c r="C133" s="526"/>
      <c r="D133" s="527"/>
      <c r="E133" s="26" t="s">
        <v>353</v>
      </c>
      <c r="F133" s="569" t="s">
        <v>394</v>
      </c>
      <c r="G133" s="570"/>
      <c r="H133" s="571"/>
      <c r="K133" s="319"/>
      <c r="L133" s="319"/>
      <c r="M133" s="319"/>
      <c r="N133" s="319"/>
    </row>
    <row r="134" spans="1:14" s="1" customFormat="1" ht="20.100000000000001" customHeight="1" x14ac:dyDescent="0.25">
      <c r="A134" s="525" t="s">
        <v>344</v>
      </c>
      <c r="B134" s="526"/>
      <c r="C134" s="526"/>
      <c r="D134" s="527"/>
      <c r="E134" s="26" t="s">
        <v>395</v>
      </c>
      <c r="F134" s="569" t="s">
        <v>396</v>
      </c>
      <c r="G134" s="570"/>
      <c r="H134" s="571"/>
      <c r="K134" s="319"/>
      <c r="L134" s="319"/>
      <c r="M134" s="319"/>
      <c r="N134" s="319"/>
    </row>
    <row r="135" spans="1:14" s="1" customFormat="1" ht="20.100000000000001" customHeight="1" thickBot="1" x14ac:dyDescent="0.3">
      <c r="A135" s="560" t="s">
        <v>346</v>
      </c>
      <c r="B135" s="561"/>
      <c r="C135" s="561"/>
      <c r="D135" s="562"/>
      <c r="E135" s="25" t="s">
        <v>353</v>
      </c>
      <c r="F135" s="566" t="s">
        <v>397</v>
      </c>
      <c r="G135" s="567"/>
      <c r="H135" s="568"/>
      <c r="K135" s="319"/>
      <c r="L135" s="319"/>
      <c r="M135" s="319"/>
      <c r="N135" s="319"/>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33203125" defaultRowHeight="13.2" x14ac:dyDescent="0.25"/>
  <cols>
    <col min="1" max="16384" width="9.33203125" style="8"/>
  </cols>
  <sheetData>
    <row r="1" spans="1:2" x14ac:dyDescent="0.25">
      <c r="A1" s="8" t="s">
        <v>398</v>
      </c>
      <c r="B1" s="8" t="s">
        <v>399</v>
      </c>
    </row>
    <row r="2" spans="1:2" x14ac:dyDescent="0.25">
      <c r="A2" s="8">
        <v>1</v>
      </c>
      <c r="B2" s="8" t="s">
        <v>400</v>
      </c>
    </row>
    <row r="3" spans="1:2" x14ac:dyDescent="0.25">
      <c r="A3" s="8">
        <v>2</v>
      </c>
      <c r="B3" s="8" t="s">
        <v>401</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H6" sqref="H6:Q6"/>
    </sheetView>
  </sheetViews>
  <sheetFormatPr defaultColWidth="8.5546875" defaultRowHeight="13.2" x14ac:dyDescent="0.25"/>
  <cols>
    <col min="5" max="5" width="17.44140625" customWidth="1"/>
  </cols>
  <sheetData>
    <row r="1" spans="1:19" s="2" customFormat="1" ht="30" customHeight="1" x14ac:dyDescent="0.25">
      <c r="A1" s="418" t="s">
        <v>61</v>
      </c>
      <c r="B1" s="418"/>
      <c r="C1" s="418"/>
      <c r="D1" s="418"/>
      <c r="E1" s="418"/>
      <c r="F1" s="418"/>
      <c r="G1" s="418"/>
      <c r="H1" s="418"/>
      <c r="I1" s="418"/>
      <c r="J1" s="418"/>
      <c r="K1" s="418"/>
      <c r="L1" s="418"/>
      <c r="M1" s="418"/>
      <c r="N1" s="418"/>
      <c r="O1" s="418"/>
      <c r="P1" s="418"/>
      <c r="Q1" s="418"/>
    </row>
    <row r="2" spans="1:19" s="2" customFormat="1" ht="30" customHeight="1" thickBot="1" x14ac:dyDescent="0.3">
      <c r="A2" s="420" t="s">
        <v>62</v>
      </c>
      <c r="B2" s="420"/>
      <c r="C2" s="420"/>
      <c r="D2" s="420"/>
      <c r="E2" s="420"/>
      <c r="F2" s="312"/>
      <c r="G2" s="312"/>
      <c r="H2" s="312"/>
      <c r="I2" s="312"/>
      <c r="J2" s="312"/>
      <c r="K2" s="312"/>
      <c r="L2" s="312"/>
      <c r="M2" s="312"/>
      <c r="N2" s="312"/>
      <c r="O2" s="312"/>
      <c r="P2" s="312"/>
    </row>
    <row r="3" spans="1:19" s="2" customFormat="1" ht="30" customHeight="1" thickBot="1" x14ac:dyDescent="0.3">
      <c r="A3" s="419" t="s">
        <v>63</v>
      </c>
      <c r="B3" s="419"/>
      <c r="C3" s="430" t="s">
        <v>64</v>
      </c>
      <c r="D3" s="431"/>
      <c r="E3" s="431"/>
      <c r="F3" s="431"/>
      <c r="G3" s="431"/>
      <c r="H3" s="431"/>
      <c r="I3" s="431"/>
      <c r="J3" s="431"/>
      <c r="K3" s="431"/>
      <c r="L3" s="431"/>
      <c r="M3" s="431"/>
      <c r="N3" s="431"/>
      <c r="O3" s="431"/>
      <c r="P3" s="431"/>
      <c r="Q3" s="431"/>
      <c r="R3" s="431"/>
      <c r="S3" s="432"/>
    </row>
    <row r="4" spans="1:19" s="5" customFormat="1" ht="30" customHeight="1" thickBot="1" x14ac:dyDescent="0.3">
      <c r="A4" s="419" t="s">
        <v>65</v>
      </c>
      <c r="B4" s="419"/>
      <c r="C4" s="419"/>
      <c r="D4" s="425"/>
      <c r="E4" s="426" t="s">
        <v>66</v>
      </c>
      <c r="F4" s="427"/>
      <c r="G4" s="427"/>
      <c r="H4" s="428"/>
      <c r="I4" s="4"/>
      <c r="J4" s="4"/>
      <c r="K4" s="4"/>
      <c r="L4" s="4"/>
      <c r="M4" s="4"/>
      <c r="N4" s="4"/>
      <c r="O4" s="4"/>
      <c r="P4" s="4"/>
      <c r="Q4" s="4"/>
      <c r="R4" s="4"/>
      <c r="S4" s="4"/>
    </row>
    <row r="5" spans="1:19" s="5" customFormat="1" ht="30" customHeight="1" thickBot="1" x14ac:dyDescent="0.3">
      <c r="A5" s="419" t="s">
        <v>67</v>
      </c>
      <c r="B5" s="419"/>
      <c r="C5" s="419"/>
      <c r="D5" s="419"/>
      <c r="E5" s="419"/>
      <c r="F5" s="419"/>
      <c r="G5" s="419"/>
      <c r="H5" s="4"/>
      <c r="I5" s="4"/>
      <c r="J5" s="4"/>
      <c r="K5" s="4"/>
      <c r="L5" s="4"/>
      <c r="M5" s="4"/>
      <c r="N5" s="4"/>
      <c r="O5" s="4"/>
      <c r="P5" s="4"/>
      <c r="Q5" s="4"/>
      <c r="R5" s="4"/>
      <c r="S5" s="4"/>
    </row>
    <row r="6" spans="1:19" s="5" customFormat="1" ht="30" customHeight="1" thickBot="1" x14ac:dyDescent="0.3">
      <c r="A6" s="421" t="s">
        <v>68</v>
      </c>
      <c r="B6" s="421"/>
      <c r="C6" s="421"/>
      <c r="D6" s="421"/>
      <c r="E6" s="421"/>
      <c r="F6" s="421"/>
      <c r="G6" s="421"/>
      <c r="H6" s="422" t="s">
        <v>410</v>
      </c>
      <c r="I6" s="423"/>
      <c r="J6" s="423"/>
      <c r="K6" s="423"/>
      <c r="L6" s="423"/>
      <c r="M6" s="423"/>
      <c r="N6" s="423"/>
      <c r="O6" s="423"/>
      <c r="P6" s="423"/>
      <c r="Q6" s="424"/>
      <c r="R6" s="4"/>
      <c r="S6" s="4"/>
    </row>
    <row r="7" spans="1:19" s="5" customFormat="1" ht="30" customHeight="1" thickBot="1" x14ac:dyDescent="0.3">
      <c r="A7" s="421" t="s">
        <v>69</v>
      </c>
      <c r="B7" s="421"/>
      <c r="C7" s="421"/>
      <c r="D7" s="421"/>
      <c r="E7" s="421"/>
      <c r="F7" s="421"/>
      <c r="G7" s="421"/>
      <c r="H7" s="429" t="s">
        <v>70</v>
      </c>
      <c r="I7" s="423"/>
      <c r="J7" s="423"/>
      <c r="K7" s="423"/>
      <c r="L7" s="423"/>
      <c r="M7" s="423"/>
      <c r="N7" s="423"/>
      <c r="O7" s="423"/>
      <c r="P7" s="423"/>
      <c r="Q7" s="424"/>
      <c r="R7" s="4"/>
      <c r="S7" s="4"/>
    </row>
    <row r="8" spans="1:19" s="5" customFormat="1" ht="30" customHeight="1" thickBot="1" x14ac:dyDescent="0.3">
      <c r="A8" s="421" t="s">
        <v>71</v>
      </c>
      <c r="B8" s="421"/>
      <c r="C8" s="421"/>
      <c r="D8" s="421"/>
      <c r="E8" s="421"/>
      <c r="F8" s="421"/>
      <c r="G8" s="421"/>
      <c r="H8" s="422" t="s">
        <v>72</v>
      </c>
      <c r="I8" s="423"/>
      <c r="J8" s="423"/>
      <c r="K8" s="423"/>
      <c r="L8" s="423"/>
      <c r="M8" s="423"/>
      <c r="N8" s="423"/>
      <c r="O8" s="423"/>
      <c r="P8" s="423"/>
      <c r="Q8" s="424"/>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B05B9318-936E-4D43-8279-C700693CBFBC}"/>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zoomScale="80" zoomScaleNormal="80" workbookViewId="0">
      <selection activeCell="E18" sqref="E18"/>
    </sheetView>
  </sheetViews>
  <sheetFormatPr defaultRowHeight="13.2" x14ac:dyDescent="0.25"/>
  <cols>
    <col min="1" max="1" width="54.44140625" customWidth="1"/>
    <col min="2" max="6" width="20.5546875" customWidth="1"/>
  </cols>
  <sheetData>
    <row r="1" spans="1:6" ht="22.8" x14ac:dyDescent="0.4">
      <c r="A1" s="348" t="s">
        <v>73</v>
      </c>
      <c r="B1" s="349"/>
      <c r="C1" s="349"/>
      <c r="D1" s="349"/>
      <c r="E1" s="349"/>
      <c r="F1" s="148"/>
    </row>
    <row r="2" spans="1:6" ht="22.5" customHeight="1" x14ac:dyDescent="0.25">
      <c r="A2" s="350" t="str">
        <f>'Institution ID'!C3</f>
        <v>James Madison University</v>
      </c>
      <c r="B2" s="350"/>
      <c r="C2" s="350"/>
      <c r="D2" s="350"/>
      <c r="E2" s="350"/>
      <c r="F2" s="148"/>
    </row>
    <row r="3" spans="1:6" ht="15" x14ac:dyDescent="0.25">
      <c r="A3" s="351"/>
      <c r="B3" s="351"/>
      <c r="C3" s="351"/>
      <c r="D3" s="351"/>
      <c r="E3" s="351"/>
      <c r="F3" s="148"/>
    </row>
    <row r="4" spans="1:6" ht="85.5" customHeight="1" x14ac:dyDescent="0.25">
      <c r="A4" s="439" t="s">
        <v>74</v>
      </c>
      <c r="B4" s="439"/>
      <c r="C4" s="439"/>
      <c r="D4" s="439"/>
      <c r="E4" s="439"/>
      <c r="F4" s="439"/>
    </row>
    <row r="5" spans="1:6" ht="15.6" thickBot="1" x14ac:dyDescent="0.3">
      <c r="A5" s="148"/>
      <c r="B5" s="89"/>
      <c r="C5" s="89"/>
      <c r="D5" s="89"/>
      <c r="E5" s="89"/>
      <c r="F5" s="89"/>
    </row>
    <row r="6" spans="1:6" ht="17.399999999999999" x14ac:dyDescent="0.3">
      <c r="A6" s="148"/>
      <c r="B6" s="433" t="s">
        <v>75</v>
      </c>
      <c r="C6" s="434"/>
      <c r="D6" s="434"/>
      <c r="E6" s="434"/>
      <c r="F6" s="435"/>
    </row>
    <row r="7" spans="1:6" ht="15" x14ac:dyDescent="0.25">
      <c r="B7" s="363" t="s">
        <v>76</v>
      </c>
      <c r="C7" s="436" t="s">
        <v>77</v>
      </c>
      <c r="D7" s="437"/>
      <c r="E7" s="437" t="s">
        <v>78</v>
      </c>
      <c r="F7" s="438"/>
    </row>
    <row r="8" spans="1:6" ht="30.6" thickBot="1" x14ac:dyDescent="0.3">
      <c r="B8" s="364" t="s">
        <v>79</v>
      </c>
      <c r="C8" s="155" t="s">
        <v>80</v>
      </c>
      <c r="D8" s="156" t="s">
        <v>81</v>
      </c>
      <c r="E8" s="155" t="s">
        <v>80</v>
      </c>
      <c r="F8" s="365" t="s">
        <v>81</v>
      </c>
    </row>
    <row r="9" spans="1:6" ht="15" x14ac:dyDescent="0.25">
      <c r="A9" s="358" t="s">
        <v>82</v>
      </c>
      <c r="B9" s="366">
        <v>7914</v>
      </c>
      <c r="C9" s="109">
        <v>8302</v>
      </c>
      <c r="D9" s="104">
        <f>IF(C9=0,"%",C9/B9-1)</f>
        <v>4.9027040687389389E-2</v>
      </c>
      <c r="E9" s="109">
        <v>8709</v>
      </c>
      <c r="F9" s="352">
        <f>IF(E9=0,"%",E9/C9-1)</f>
        <v>4.9024331486388739E-2</v>
      </c>
    </row>
    <row r="10" spans="1:6" ht="15" x14ac:dyDescent="0.25">
      <c r="A10" s="359" t="s">
        <v>83</v>
      </c>
      <c r="B10" s="367">
        <v>0</v>
      </c>
      <c r="C10" s="110">
        <v>0</v>
      </c>
      <c r="D10" s="105" t="str">
        <f t="shared" ref="D10:D15" si="0">IF(C10=0,"%",C10/B10-1)</f>
        <v>%</v>
      </c>
      <c r="E10" s="110">
        <v>0</v>
      </c>
      <c r="F10" s="353" t="str">
        <f t="shared" ref="F10:F15" si="1">IF(E10=0,"%",E10/C10-1)</f>
        <v>%</v>
      </c>
    </row>
    <row r="11" spans="1:6" ht="15" x14ac:dyDescent="0.25">
      <c r="A11" s="360" t="s">
        <v>84</v>
      </c>
      <c r="B11" s="368">
        <v>5662</v>
      </c>
      <c r="C11" s="111">
        <f>5782+48</f>
        <v>5830</v>
      </c>
      <c r="D11" s="106">
        <f t="shared" si="0"/>
        <v>2.9671494171670698E-2</v>
      </c>
      <c r="E11" s="111">
        <f>5955+48</f>
        <v>6003</v>
      </c>
      <c r="F11" s="354">
        <f t="shared" si="1"/>
        <v>2.9674099485420324E-2</v>
      </c>
    </row>
    <row r="12" spans="1:6" ht="15" x14ac:dyDescent="0.25">
      <c r="A12" s="361" t="s">
        <v>85</v>
      </c>
      <c r="B12" s="369">
        <f>SUM(B9:B11)</f>
        <v>13576</v>
      </c>
      <c r="C12" s="108">
        <f>SUM(C9:C11)</f>
        <v>14132</v>
      </c>
      <c r="D12" s="106">
        <f t="shared" si="0"/>
        <v>4.0954625810253331E-2</v>
      </c>
      <c r="E12" s="108">
        <f>SUM(E9:E11)</f>
        <v>14712</v>
      </c>
      <c r="F12" s="354">
        <f>IF(E12=0,"%",E12/C12-1)</f>
        <v>4.1041607698839577E-2</v>
      </c>
    </row>
    <row r="13" spans="1:6" ht="15" x14ac:dyDescent="0.25">
      <c r="A13" s="359" t="s">
        <v>86</v>
      </c>
      <c r="B13" s="366">
        <v>24542</v>
      </c>
      <c r="C13" s="109">
        <v>25033</v>
      </c>
      <c r="D13" s="105">
        <f t="shared" si="0"/>
        <v>2.0006519436068793E-2</v>
      </c>
      <c r="E13" s="109">
        <v>25534</v>
      </c>
      <c r="F13" s="353">
        <f t="shared" si="1"/>
        <v>2.001358207166537E-2</v>
      </c>
    </row>
    <row r="14" spans="1:6" ht="15" x14ac:dyDescent="0.25">
      <c r="A14" s="359" t="s">
        <v>87</v>
      </c>
      <c r="B14" s="367">
        <v>586</v>
      </c>
      <c r="C14" s="110">
        <v>586</v>
      </c>
      <c r="D14" s="105">
        <f t="shared" si="0"/>
        <v>0</v>
      </c>
      <c r="E14" s="110">
        <v>586</v>
      </c>
      <c r="F14" s="353">
        <f t="shared" si="1"/>
        <v>0</v>
      </c>
    </row>
    <row r="15" spans="1:6" ht="15" x14ac:dyDescent="0.25">
      <c r="A15" s="360" t="s">
        <v>88</v>
      </c>
      <c r="B15" s="368">
        <v>5662</v>
      </c>
      <c r="C15" s="111">
        <v>5830</v>
      </c>
      <c r="D15" s="106">
        <f t="shared" si="0"/>
        <v>2.9671494171670698E-2</v>
      </c>
      <c r="E15" s="111">
        <v>6003</v>
      </c>
      <c r="F15" s="354">
        <f t="shared" si="1"/>
        <v>2.9674099485420324E-2</v>
      </c>
    </row>
    <row r="16" spans="1:6" ht="15.6" thickBot="1" x14ac:dyDescent="0.3">
      <c r="A16" s="362" t="s">
        <v>89</v>
      </c>
      <c r="B16" s="370">
        <f>SUM(B13:B15)</f>
        <v>30790</v>
      </c>
      <c r="C16" s="355">
        <f>SUM(C13:C15)</f>
        <v>31449</v>
      </c>
      <c r="D16" s="356">
        <f t="shared" ref="D16" si="2">IF(C16=0,"%",C16/B16-1)</f>
        <v>2.1403052939265921E-2</v>
      </c>
      <c r="E16" s="355">
        <f>SUM(E13:E15)</f>
        <v>32123</v>
      </c>
      <c r="F16" s="357">
        <f>IF(E16=0,"%",E16/C16-1)</f>
        <v>2.1431524054818851E-2</v>
      </c>
    </row>
  </sheetData>
  <mergeCells count="4">
    <mergeCell ref="B6:F6"/>
    <mergeCell ref="C7:D7"/>
    <mergeCell ref="E7:F7"/>
    <mergeCell ref="A4:F4"/>
  </mergeCells>
  <pageMargins left="0.2" right="0.2" top="0.25" bottom="0.2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7" zoomScaleNormal="100" zoomScalePageLayoutView="150" workbookViewId="0">
      <selection activeCell="F5" sqref="F5"/>
    </sheetView>
  </sheetViews>
  <sheetFormatPr defaultColWidth="8.5546875" defaultRowHeight="13.2" x14ac:dyDescent="0.25"/>
  <cols>
    <col min="1" max="1" width="35.88671875" customWidth="1"/>
    <col min="2" max="2" width="17.33203125" customWidth="1"/>
    <col min="3" max="3" width="19.33203125" customWidth="1"/>
    <col min="4" max="4" width="6.6640625" style="137" bestFit="1" customWidth="1"/>
    <col min="5" max="5" width="18.6640625" customWidth="1"/>
    <col min="6" max="6" width="6.88671875" style="137" customWidth="1"/>
    <col min="7" max="7" width="18.33203125" customWidth="1"/>
    <col min="8" max="8" width="6.5546875" style="137" customWidth="1"/>
    <col min="9" max="9" width="19.6640625" customWidth="1"/>
    <col min="10" max="10" width="5.6640625" style="137" bestFit="1" customWidth="1"/>
    <col min="11" max="11" width="18.88671875" customWidth="1"/>
    <col min="12" max="12" width="5.6640625" style="137" bestFit="1" customWidth="1"/>
    <col min="13" max="13" width="19.6640625" customWidth="1"/>
    <col min="14" max="14" width="6.6640625" style="137" customWidth="1"/>
    <col min="15" max="15" width="21" customWidth="1"/>
    <col min="16" max="16" width="5.6640625" style="137" bestFit="1" customWidth="1"/>
    <col min="17" max="17" width="9.33203125" customWidth="1"/>
    <col min="18" max="18" width="6" bestFit="1" customWidth="1"/>
  </cols>
  <sheetData>
    <row r="1" spans="1:18" s="1" customFormat="1" ht="20.100000000000001" customHeight="1" x14ac:dyDescent="0.25">
      <c r="A1" s="48" t="s">
        <v>90</v>
      </c>
      <c r="B1" s="48"/>
      <c r="C1" s="48"/>
      <c r="D1" s="132"/>
      <c r="E1" s="48"/>
      <c r="F1" s="132"/>
      <c r="G1" s="48"/>
      <c r="H1" s="132"/>
      <c r="J1" s="132"/>
      <c r="L1" s="132"/>
      <c r="N1" s="132"/>
      <c r="P1" s="132"/>
    </row>
    <row r="2" spans="1:18" s="1" customFormat="1" ht="20.100000000000001" customHeight="1" x14ac:dyDescent="0.25">
      <c r="A2" s="440" t="str">
        <f>'Institution ID'!C3</f>
        <v>James Madison University</v>
      </c>
      <c r="B2" s="440"/>
      <c r="C2" s="440"/>
      <c r="D2" s="440"/>
      <c r="E2" s="440"/>
      <c r="F2" s="440"/>
      <c r="G2" s="440"/>
      <c r="H2" s="313"/>
    </row>
    <row r="3" spans="1:18" s="2" customFormat="1" ht="147" customHeight="1" x14ac:dyDescent="0.25">
      <c r="A3" s="442" t="s">
        <v>411</v>
      </c>
      <c r="B3" s="443"/>
      <c r="C3" s="443"/>
      <c r="D3" s="443"/>
      <c r="E3" s="443"/>
      <c r="F3" s="443"/>
      <c r="G3" s="444"/>
      <c r="H3" s="131"/>
      <c r="I3" s="445" t="s">
        <v>91</v>
      </c>
      <c r="J3" s="446"/>
      <c r="K3" s="446"/>
      <c r="L3" s="446"/>
      <c r="M3" s="446"/>
      <c r="N3" s="446"/>
      <c r="O3" s="447"/>
    </row>
    <row r="4" spans="1:18" ht="15" customHeight="1" x14ac:dyDescent="0.25">
      <c r="A4" s="441" t="s">
        <v>92</v>
      </c>
      <c r="B4" s="92" t="s">
        <v>93</v>
      </c>
      <c r="C4" s="92" t="s">
        <v>94</v>
      </c>
      <c r="D4" s="133"/>
      <c r="E4" s="92" t="s">
        <v>95</v>
      </c>
      <c r="F4" s="133"/>
      <c r="G4" s="92" t="s">
        <v>96</v>
      </c>
      <c r="H4" s="133"/>
      <c r="I4" s="92" t="s">
        <v>97</v>
      </c>
      <c r="J4" s="133"/>
      <c r="K4" s="92" t="s">
        <v>98</v>
      </c>
      <c r="L4" s="133"/>
      <c r="M4" s="115" t="s">
        <v>99</v>
      </c>
      <c r="N4" s="133"/>
      <c r="O4" s="92" t="s">
        <v>100</v>
      </c>
      <c r="P4" s="133"/>
    </row>
    <row r="5" spans="1:18" ht="34.200000000000003" customHeight="1" x14ac:dyDescent="0.25">
      <c r="A5" s="441"/>
      <c r="B5" s="93" t="s">
        <v>101</v>
      </c>
      <c r="C5" s="93" t="s">
        <v>101</v>
      </c>
      <c r="D5" s="138" t="s">
        <v>102</v>
      </c>
      <c r="E5" s="93" t="s">
        <v>103</v>
      </c>
      <c r="F5" s="138" t="s">
        <v>102</v>
      </c>
      <c r="G5" s="93" t="s">
        <v>103</v>
      </c>
      <c r="H5" s="138" t="s">
        <v>102</v>
      </c>
      <c r="I5" s="93" t="s">
        <v>104</v>
      </c>
      <c r="J5" s="138" t="s">
        <v>102</v>
      </c>
      <c r="K5" s="93" t="s">
        <v>104</v>
      </c>
      <c r="L5" s="138" t="s">
        <v>102</v>
      </c>
      <c r="M5" s="93" t="s">
        <v>104</v>
      </c>
      <c r="N5" s="138" t="s">
        <v>102</v>
      </c>
      <c r="O5" s="93" t="s">
        <v>104</v>
      </c>
      <c r="P5" s="138" t="s">
        <v>102</v>
      </c>
      <c r="Q5" s="321" t="s">
        <v>105</v>
      </c>
      <c r="R5" s="139" t="s">
        <v>106</v>
      </c>
    </row>
    <row r="6" spans="1:18" ht="15" customHeight="1" x14ac:dyDescent="0.25">
      <c r="A6" s="94" t="s">
        <v>107</v>
      </c>
      <c r="B6" s="94"/>
      <c r="C6" s="94"/>
      <c r="D6" s="134"/>
      <c r="E6" s="94"/>
      <c r="F6" s="134"/>
      <c r="G6" s="94"/>
      <c r="H6" s="134"/>
      <c r="J6" s="134"/>
      <c r="L6" s="134"/>
      <c r="N6" s="134"/>
      <c r="O6" s="107"/>
      <c r="P6" s="134"/>
      <c r="Q6" s="112"/>
      <c r="R6" s="140"/>
    </row>
    <row r="7" spans="1:18" ht="15" customHeight="1" x14ac:dyDescent="0.25">
      <c r="A7" s="95" t="s">
        <v>108</v>
      </c>
      <c r="B7" s="96">
        <v>123371623</v>
      </c>
      <c r="C7" s="96">
        <v>132260953</v>
      </c>
      <c r="D7" s="134">
        <f>IF(B7=0,"%",C7/B7-1)</f>
        <v>7.205327922126803E-2</v>
      </c>
      <c r="E7" s="96">
        <v>136744837</v>
      </c>
      <c r="F7" s="134">
        <f>IF(C7=0,"%",E7/C7-1)</f>
        <v>3.3901797153994551E-2</v>
      </c>
      <c r="G7" s="96">
        <v>140524374</v>
      </c>
      <c r="H7" s="134">
        <f>IF(E7=0,"%",G7/E7-1)</f>
        <v>2.7639339684905284E-2</v>
      </c>
      <c r="I7" s="96">
        <v>139178620</v>
      </c>
      <c r="J7" s="134">
        <f>IF(G7=0,"%",I7/G7-1)</f>
        <v>-9.5766589218180265E-3</v>
      </c>
      <c r="K7" s="96">
        <v>138265561</v>
      </c>
      <c r="L7" s="134">
        <f>IF(I7=0,"%",K7/I7-1)</f>
        <v>-6.5603395119163688E-3</v>
      </c>
      <c r="M7" s="116">
        <v>137700040</v>
      </c>
      <c r="N7" s="134">
        <f>IF(K7=0,"%",M7/K7-1)</f>
        <v>-4.0901074418668859E-3</v>
      </c>
      <c r="O7" s="96">
        <v>137136698</v>
      </c>
      <c r="P7" s="134">
        <f>IF(M7=0,"%",O7/M7-1)</f>
        <v>-4.0910808740506344E-3</v>
      </c>
      <c r="Q7" s="112">
        <f>IF(O7=0,"%",O7/B7-1)</f>
        <v>0.11157407729004265</v>
      </c>
      <c r="R7" s="140">
        <f t="shared" ref="R7:R26" si="0">IF(B7=0,"%",(O7/B7)^(1/7)-1)</f>
        <v>1.5225762696151612E-2</v>
      </c>
    </row>
    <row r="8" spans="1:18" ht="15" customHeight="1" x14ac:dyDescent="0.25">
      <c r="A8" s="95" t="s">
        <v>109</v>
      </c>
      <c r="B8" s="96">
        <v>107061451</v>
      </c>
      <c r="C8" s="96">
        <v>106075177</v>
      </c>
      <c r="D8" s="134">
        <f>IF(B8=0,"%",C8/B8-1)</f>
        <v>-9.2122233613292082E-3</v>
      </c>
      <c r="E8" s="96">
        <v>108528142</v>
      </c>
      <c r="F8" s="134">
        <f>IF(C8=0,"%",E8/C8-1)</f>
        <v>2.3124778759501918E-2</v>
      </c>
      <c r="G8" s="96">
        <v>112695464</v>
      </c>
      <c r="H8" s="134">
        <f>IF(E8=0,"%",G8/E8-1)</f>
        <v>3.8398538141378946E-2</v>
      </c>
      <c r="I8" s="96">
        <v>112609911</v>
      </c>
      <c r="J8" s="134">
        <f>IF(G8=0,"%",I8/G8-1)</f>
        <v>-7.5915211636201629E-4</v>
      </c>
      <c r="K8" s="96">
        <v>112453238</v>
      </c>
      <c r="L8" s="134">
        <f>IF(I8=0,"%",K8/I8-1)</f>
        <v>-1.391289617483138E-3</v>
      </c>
      <c r="M8" s="116">
        <v>112399920</v>
      </c>
      <c r="N8" s="134">
        <f>IF(K8=0,"%",M8/K8-1)</f>
        <v>-4.7413485772640485E-4</v>
      </c>
      <c r="O8" s="96">
        <v>112385280</v>
      </c>
      <c r="P8" s="134">
        <f>IF(M8=0,"%",O8/M8-1)</f>
        <v>-1.3024920302429077E-4</v>
      </c>
      <c r="Q8" s="112">
        <f t="shared" ref="Q8:Q26" si="1">IF(O8=0,"%",O8/B8-1)</f>
        <v>4.972685266520438E-2</v>
      </c>
      <c r="R8" s="140">
        <f t="shared" si="0"/>
        <v>6.956943593397602E-3</v>
      </c>
    </row>
    <row r="9" spans="1:18" ht="15" customHeight="1" x14ac:dyDescent="0.25">
      <c r="A9" s="95" t="s">
        <v>110</v>
      </c>
      <c r="B9" s="96">
        <v>12833482</v>
      </c>
      <c r="C9" s="96">
        <v>12737636</v>
      </c>
      <c r="D9" s="134">
        <f t="shared" ref="D9:D26" si="2">IF(B9=0,"%",C9/B9-1)</f>
        <v>-7.4684329630883006E-3</v>
      </c>
      <c r="E9" s="96">
        <v>12841934</v>
      </c>
      <c r="F9" s="134">
        <f t="shared" ref="F9:P26" si="3">IF(C9=0,"%",E9/C9-1)</f>
        <v>8.1881755766926023E-3</v>
      </c>
      <c r="G9" s="96">
        <v>13195182</v>
      </c>
      <c r="H9" s="134">
        <f t="shared" si="3"/>
        <v>2.7507383233709159E-2</v>
      </c>
      <c r="I9" s="96">
        <v>13123180</v>
      </c>
      <c r="J9" s="134">
        <f t="shared" si="3"/>
        <v>-5.4566886610583065E-3</v>
      </c>
      <c r="K9" s="96">
        <v>13151768</v>
      </c>
      <c r="L9" s="134">
        <f t="shared" si="3"/>
        <v>2.1784354097100778E-3</v>
      </c>
      <c r="M9" s="116">
        <v>13066001</v>
      </c>
      <c r="N9" s="134">
        <f t="shared" si="3"/>
        <v>-6.5213285392503595E-3</v>
      </c>
      <c r="O9" s="96">
        <v>13139062</v>
      </c>
      <c r="P9" s="134">
        <f t="shared" si="3"/>
        <v>5.5916879234894079E-3</v>
      </c>
      <c r="Q9" s="112">
        <f t="shared" si="1"/>
        <v>2.3811152733139718E-2</v>
      </c>
      <c r="R9" s="140">
        <f t="shared" si="0"/>
        <v>3.3673838627159558E-3</v>
      </c>
    </row>
    <row r="10" spans="1:18" ht="15" customHeight="1" x14ac:dyDescent="0.25">
      <c r="A10" s="95" t="s">
        <v>111</v>
      </c>
      <c r="B10" s="96">
        <v>8931429</v>
      </c>
      <c r="C10" s="96">
        <v>6573872</v>
      </c>
      <c r="D10" s="134">
        <f t="shared" si="2"/>
        <v>-0.26396190352070203</v>
      </c>
      <c r="E10" s="96">
        <v>6545021</v>
      </c>
      <c r="F10" s="134">
        <f t="shared" si="3"/>
        <v>-4.3887377180450438E-3</v>
      </c>
      <c r="G10" s="96">
        <v>6685774</v>
      </c>
      <c r="H10" s="134">
        <f t="shared" si="3"/>
        <v>2.150535498663797E-2</v>
      </c>
      <c r="I10" s="96">
        <v>6678345</v>
      </c>
      <c r="J10" s="134">
        <f t="shared" si="3"/>
        <v>-1.1111652891647728E-3</v>
      </c>
      <c r="K10" s="96">
        <v>6700632</v>
      </c>
      <c r="L10" s="134">
        <f t="shared" si="3"/>
        <v>3.3372040528005797E-3</v>
      </c>
      <c r="M10" s="116">
        <v>6656057</v>
      </c>
      <c r="N10" s="134">
        <f t="shared" si="3"/>
        <v>-6.6523575686592284E-3</v>
      </c>
      <c r="O10" s="96">
        <v>6700632</v>
      </c>
      <c r="P10" s="134">
        <f t="shared" si="3"/>
        <v>6.6969077939085242E-3</v>
      </c>
      <c r="Q10" s="112">
        <f t="shared" si="1"/>
        <v>-0.24976932582680778</v>
      </c>
      <c r="R10" s="140">
        <f t="shared" si="0"/>
        <v>-4.0222226965189845E-2</v>
      </c>
    </row>
    <row r="11" spans="1:18" ht="15" customHeight="1" x14ac:dyDescent="0.25">
      <c r="A11" s="95" t="s">
        <v>112</v>
      </c>
      <c r="B11" s="96">
        <f>0</f>
        <v>0</v>
      </c>
      <c r="C11" s="96">
        <f>0</f>
        <v>0</v>
      </c>
      <c r="D11" s="134" t="str">
        <f t="shared" si="2"/>
        <v>%</v>
      </c>
      <c r="E11" s="96">
        <f>0</f>
        <v>0</v>
      </c>
      <c r="F11" s="134" t="str">
        <f t="shared" si="3"/>
        <v>%</v>
      </c>
      <c r="G11" s="96">
        <f>0</f>
        <v>0</v>
      </c>
      <c r="H11" s="134" t="str">
        <f t="shared" si="3"/>
        <v>%</v>
      </c>
      <c r="I11" s="96">
        <f>0</f>
        <v>0</v>
      </c>
      <c r="J11" s="134" t="str">
        <f t="shared" si="3"/>
        <v>%</v>
      </c>
      <c r="K11" s="96">
        <f>0</f>
        <v>0</v>
      </c>
      <c r="L11" s="134" t="str">
        <f t="shared" si="3"/>
        <v>%</v>
      </c>
      <c r="M11" s="116">
        <f>0</f>
        <v>0</v>
      </c>
      <c r="N11" s="134" t="str">
        <f t="shared" si="3"/>
        <v>%</v>
      </c>
      <c r="O11" s="96">
        <f>0</f>
        <v>0</v>
      </c>
      <c r="P11" s="134" t="str">
        <f t="shared" si="3"/>
        <v>%</v>
      </c>
      <c r="Q11" s="112" t="str">
        <f t="shared" si="1"/>
        <v>%</v>
      </c>
      <c r="R11" s="140" t="str">
        <f t="shared" si="0"/>
        <v>%</v>
      </c>
    </row>
    <row r="12" spans="1:18" ht="15" customHeight="1" x14ac:dyDescent="0.25">
      <c r="A12" s="95" t="s">
        <v>113</v>
      </c>
      <c r="B12" s="96">
        <f>0</f>
        <v>0</v>
      </c>
      <c r="C12" s="96">
        <f>0</f>
        <v>0</v>
      </c>
      <c r="D12" s="134" t="str">
        <f t="shared" si="2"/>
        <v>%</v>
      </c>
      <c r="E12" s="96">
        <f>0</f>
        <v>0</v>
      </c>
      <c r="F12" s="134" t="str">
        <f t="shared" si="3"/>
        <v>%</v>
      </c>
      <c r="G12" s="96">
        <f>0</f>
        <v>0</v>
      </c>
      <c r="H12" s="134" t="str">
        <f t="shared" si="3"/>
        <v>%</v>
      </c>
      <c r="I12" s="96">
        <f>0</f>
        <v>0</v>
      </c>
      <c r="J12" s="134" t="str">
        <f t="shared" si="3"/>
        <v>%</v>
      </c>
      <c r="K12" s="96">
        <f>0</f>
        <v>0</v>
      </c>
      <c r="L12" s="134" t="str">
        <f t="shared" si="3"/>
        <v>%</v>
      </c>
      <c r="M12" s="116">
        <f>0</f>
        <v>0</v>
      </c>
      <c r="N12" s="134" t="str">
        <f t="shared" si="3"/>
        <v>%</v>
      </c>
      <c r="O12" s="96">
        <f>0</f>
        <v>0</v>
      </c>
      <c r="P12" s="134" t="str">
        <f t="shared" si="3"/>
        <v>%</v>
      </c>
      <c r="Q12" s="112" t="str">
        <f t="shared" si="1"/>
        <v>%</v>
      </c>
      <c r="R12" s="140" t="str">
        <f t="shared" si="0"/>
        <v>%</v>
      </c>
    </row>
    <row r="13" spans="1:18" ht="15" customHeight="1" x14ac:dyDescent="0.25">
      <c r="A13" s="95" t="s">
        <v>114</v>
      </c>
      <c r="B13" s="96">
        <f>0</f>
        <v>0</v>
      </c>
      <c r="C13" s="96">
        <f>0</f>
        <v>0</v>
      </c>
      <c r="D13" s="134" t="str">
        <f t="shared" si="2"/>
        <v>%</v>
      </c>
      <c r="E13" s="96">
        <f>0</f>
        <v>0</v>
      </c>
      <c r="F13" s="134" t="str">
        <f t="shared" si="3"/>
        <v>%</v>
      </c>
      <c r="G13" s="96">
        <f>0</f>
        <v>0</v>
      </c>
      <c r="H13" s="134" t="str">
        <f t="shared" si="3"/>
        <v>%</v>
      </c>
      <c r="I13" s="96">
        <f>0</f>
        <v>0</v>
      </c>
      <c r="J13" s="134" t="str">
        <f t="shared" si="3"/>
        <v>%</v>
      </c>
      <c r="K13" s="96">
        <f>0</f>
        <v>0</v>
      </c>
      <c r="L13" s="134" t="str">
        <f t="shared" si="3"/>
        <v>%</v>
      </c>
      <c r="M13" s="116">
        <f>0</f>
        <v>0</v>
      </c>
      <c r="N13" s="134" t="str">
        <f t="shared" si="3"/>
        <v>%</v>
      </c>
      <c r="O13" s="96">
        <f>0</f>
        <v>0</v>
      </c>
      <c r="P13" s="134" t="str">
        <f t="shared" si="3"/>
        <v>%</v>
      </c>
      <c r="Q13" s="112" t="str">
        <f t="shared" si="1"/>
        <v>%</v>
      </c>
      <c r="R13" s="140" t="str">
        <f t="shared" si="0"/>
        <v>%</v>
      </c>
    </row>
    <row r="14" spans="1:18" ht="15" customHeight="1" x14ac:dyDescent="0.25">
      <c r="A14" s="95" t="s">
        <v>115</v>
      </c>
      <c r="B14" s="96">
        <f>0</f>
        <v>0</v>
      </c>
      <c r="C14" s="96">
        <f>0</f>
        <v>0</v>
      </c>
      <c r="D14" s="134" t="str">
        <f t="shared" si="2"/>
        <v>%</v>
      </c>
      <c r="E14" s="96">
        <f>0</f>
        <v>0</v>
      </c>
      <c r="F14" s="134" t="str">
        <f t="shared" si="3"/>
        <v>%</v>
      </c>
      <c r="G14" s="96">
        <f>0</f>
        <v>0</v>
      </c>
      <c r="H14" s="134" t="str">
        <f t="shared" si="3"/>
        <v>%</v>
      </c>
      <c r="I14" s="96">
        <f>0</f>
        <v>0</v>
      </c>
      <c r="J14" s="134" t="str">
        <f t="shared" si="3"/>
        <v>%</v>
      </c>
      <c r="K14" s="96">
        <f>0</f>
        <v>0</v>
      </c>
      <c r="L14" s="134" t="str">
        <f t="shared" si="3"/>
        <v>%</v>
      </c>
      <c r="M14" s="116">
        <f>0</f>
        <v>0</v>
      </c>
      <c r="N14" s="134" t="str">
        <f t="shared" si="3"/>
        <v>%</v>
      </c>
      <c r="O14" s="96">
        <f>0</f>
        <v>0</v>
      </c>
      <c r="P14" s="134" t="str">
        <f t="shared" si="3"/>
        <v>%</v>
      </c>
      <c r="Q14" s="112" t="str">
        <f t="shared" si="1"/>
        <v>%</v>
      </c>
      <c r="R14" s="140" t="str">
        <f t="shared" si="0"/>
        <v>%</v>
      </c>
    </row>
    <row r="15" spans="1:18" ht="15" customHeight="1" x14ac:dyDescent="0.25">
      <c r="A15" s="95" t="s">
        <v>116</v>
      </c>
      <c r="B15" s="96">
        <f>0</f>
        <v>0</v>
      </c>
      <c r="C15" s="96">
        <f>0</f>
        <v>0</v>
      </c>
      <c r="D15" s="134" t="str">
        <f t="shared" si="2"/>
        <v>%</v>
      </c>
      <c r="E15" s="96">
        <f>0</f>
        <v>0</v>
      </c>
      <c r="F15" s="134" t="str">
        <f t="shared" si="3"/>
        <v>%</v>
      </c>
      <c r="G15" s="96">
        <f>0</f>
        <v>0</v>
      </c>
      <c r="H15" s="134" t="str">
        <f t="shared" si="3"/>
        <v>%</v>
      </c>
      <c r="I15" s="96">
        <f>0</f>
        <v>0</v>
      </c>
      <c r="J15" s="134" t="str">
        <f t="shared" si="3"/>
        <v>%</v>
      </c>
      <c r="K15" s="96">
        <f>0</f>
        <v>0</v>
      </c>
      <c r="L15" s="134" t="str">
        <f t="shared" si="3"/>
        <v>%</v>
      </c>
      <c r="M15" s="116">
        <f>0</f>
        <v>0</v>
      </c>
      <c r="N15" s="134" t="str">
        <f t="shared" si="3"/>
        <v>%</v>
      </c>
      <c r="O15" s="96">
        <f>0</f>
        <v>0</v>
      </c>
      <c r="P15" s="134" t="str">
        <f t="shared" si="3"/>
        <v>%</v>
      </c>
      <c r="Q15" s="112" t="str">
        <f t="shared" si="1"/>
        <v>%</v>
      </c>
      <c r="R15" s="140" t="str">
        <f t="shared" si="0"/>
        <v>%</v>
      </c>
    </row>
    <row r="16" spans="1:18" ht="15" customHeight="1" x14ac:dyDescent="0.25">
      <c r="A16" s="95" t="s">
        <v>117</v>
      </c>
      <c r="B16" s="96">
        <f>0</f>
        <v>0</v>
      </c>
      <c r="C16" s="96">
        <f>0</f>
        <v>0</v>
      </c>
      <c r="D16" s="134" t="str">
        <f t="shared" si="2"/>
        <v>%</v>
      </c>
      <c r="E16" s="96">
        <f>0</f>
        <v>0</v>
      </c>
      <c r="F16" s="134" t="str">
        <f t="shared" si="3"/>
        <v>%</v>
      </c>
      <c r="G16" s="96">
        <f>0</f>
        <v>0</v>
      </c>
      <c r="H16" s="134" t="str">
        <f t="shared" si="3"/>
        <v>%</v>
      </c>
      <c r="I16" s="96">
        <f>0</f>
        <v>0</v>
      </c>
      <c r="J16" s="134" t="str">
        <f t="shared" si="3"/>
        <v>%</v>
      </c>
      <c r="K16" s="96">
        <f>0</f>
        <v>0</v>
      </c>
      <c r="L16" s="134" t="str">
        <f t="shared" si="3"/>
        <v>%</v>
      </c>
      <c r="M16" s="116">
        <f>0</f>
        <v>0</v>
      </c>
      <c r="N16" s="134" t="str">
        <f t="shared" si="3"/>
        <v>%</v>
      </c>
      <c r="O16" s="96">
        <f>0</f>
        <v>0</v>
      </c>
      <c r="P16" s="134" t="str">
        <f t="shared" si="3"/>
        <v>%</v>
      </c>
      <c r="Q16" s="112" t="str">
        <f t="shared" si="1"/>
        <v>%</v>
      </c>
      <c r="R16" s="140" t="str">
        <f t="shared" si="0"/>
        <v>%</v>
      </c>
    </row>
    <row r="17" spans="1:18" ht="15" customHeight="1" x14ac:dyDescent="0.25">
      <c r="A17" s="95" t="s">
        <v>118</v>
      </c>
      <c r="B17" s="96">
        <f>0</f>
        <v>0</v>
      </c>
      <c r="C17" s="96">
        <f>0</f>
        <v>0</v>
      </c>
      <c r="D17" s="134" t="str">
        <f t="shared" si="2"/>
        <v>%</v>
      </c>
      <c r="E17" s="96">
        <f>0</f>
        <v>0</v>
      </c>
      <c r="F17" s="134" t="str">
        <f t="shared" si="3"/>
        <v>%</v>
      </c>
      <c r="G17" s="96">
        <f>0</f>
        <v>0</v>
      </c>
      <c r="H17" s="134" t="str">
        <f t="shared" si="3"/>
        <v>%</v>
      </c>
      <c r="I17" s="96">
        <f>0</f>
        <v>0</v>
      </c>
      <c r="J17" s="134" t="str">
        <f t="shared" si="3"/>
        <v>%</v>
      </c>
      <c r="K17" s="96">
        <f>0</f>
        <v>0</v>
      </c>
      <c r="L17" s="134" t="str">
        <f t="shared" si="3"/>
        <v>%</v>
      </c>
      <c r="M17" s="116">
        <f>0</f>
        <v>0</v>
      </c>
      <c r="N17" s="134" t="str">
        <f t="shared" si="3"/>
        <v>%</v>
      </c>
      <c r="O17" s="96">
        <f>0</f>
        <v>0</v>
      </c>
      <c r="P17" s="134" t="str">
        <f t="shared" si="3"/>
        <v>%</v>
      </c>
      <c r="Q17" s="112" t="str">
        <f t="shared" si="1"/>
        <v>%</v>
      </c>
      <c r="R17" s="140" t="str">
        <f t="shared" si="0"/>
        <v>%</v>
      </c>
    </row>
    <row r="18" spans="1:18" ht="15" customHeight="1" x14ac:dyDescent="0.25">
      <c r="A18" s="95" t="s">
        <v>119</v>
      </c>
      <c r="B18" s="96">
        <f>0</f>
        <v>0</v>
      </c>
      <c r="C18" s="96">
        <f>0</f>
        <v>0</v>
      </c>
      <c r="D18" s="134" t="str">
        <f t="shared" si="2"/>
        <v>%</v>
      </c>
      <c r="E18" s="96">
        <f>0</f>
        <v>0</v>
      </c>
      <c r="F18" s="134" t="str">
        <f t="shared" si="3"/>
        <v>%</v>
      </c>
      <c r="G18" s="96">
        <f>0</f>
        <v>0</v>
      </c>
      <c r="H18" s="134" t="str">
        <f t="shared" si="3"/>
        <v>%</v>
      </c>
      <c r="I18" s="96">
        <f>0</f>
        <v>0</v>
      </c>
      <c r="J18" s="134" t="str">
        <f t="shared" si="3"/>
        <v>%</v>
      </c>
      <c r="K18" s="96">
        <f>0</f>
        <v>0</v>
      </c>
      <c r="L18" s="134" t="str">
        <f t="shared" si="3"/>
        <v>%</v>
      </c>
      <c r="M18" s="116">
        <f>0</f>
        <v>0</v>
      </c>
      <c r="N18" s="134" t="str">
        <f t="shared" si="3"/>
        <v>%</v>
      </c>
      <c r="O18" s="96">
        <f>0</f>
        <v>0</v>
      </c>
      <c r="P18" s="134" t="str">
        <f t="shared" si="3"/>
        <v>%</v>
      </c>
      <c r="Q18" s="112" t="str">
        <f t="shared" si="1"/>
        <v>%</v>
      </c>
      <c r="R18" s="140" t="str">
        <f t="shared" si="0"/>
        <v>%</v>
      </c>
    </row>
    <row r="19" spans="1:18" ht="15" customHeight="1" x14ac:dyDescent="0.25">
      <c r="A19" s="95" t="s">
        <v>120</v>
      </c>
      <c r="B19" s="96">
        <f>0</f>
        <v>0</v>
      </c>
      <c r="C19" s="96">
        <f>0</f>
        <v>0</v>
      </c>
      <c r="D19" s="134" t="str">
        <f t="shared" si="2"/>
        <v>%</v>
      </c>
      <c r="E19" s="96">
        <f>0</f>
        <v>0</v>
      </c>
      <c r="F19" s="134" t="str">
        <f t="shared" si="3"/>
        <v>%</v>
      </c>
      <c r="G19" s="96">
        <f>0</f>
        <v>0</v>
      </c>
      <c r="H19" s="134" t="str">
        <f t="shared" si="3"/>
        <v>%</v>
      </c>
      <c r="I19" s="96">
        <f>0</f>
        <v>0</v>
      </c>
      <c r="J19" s="134" t="str">
        <f t="shared" si="3"/>
        <v>%</v>
      </c>
      <c r="K19" s="96">
        <f>0</f>
        <v>0</v>
      </c>
      <c r="L19" s="134" t="str">
        <f t="shared" si="3"/>
        <v>%</v>
      </c>
      <c r="M19" s="116">
        <f>0</f>
        <v>0</v>
      </c>
      <c r="N19" s="134" t="str">
        <f t="shared" si="3"/>
        <v>%</v>
      </c>
      <c r="O19" s="96">
        <f>0</f>
        <v>0</v>
      </c>
      <c r="P19" s="134" t="str">
        <f t="shared" si="3"/>
        <v>%</v>
      </c>
      <c r="Q19" s="112" t="str">
        <f t="shared" si="1"/>
        <v>%</v>
      </c>
      <c r="R19" s="140" t="str">
        <f t="shared" si="0"/>
        <v>%</v>
      </c>
    </row>
    <row r="20" spans="1:18" ht="15" customHeight="1" x14ac:dyDescent="0.25">
      <c r="A20" s="95" t="s">
        <v>121</v>
      </c>
      <c r="B20" s="96">
        <f>0</f>
        <v>0</v>
      </c>
      <c r="C20" s="96">
        <f>0</f>
        <v>0</v>
      </c>
      <c r="D20" s="134" t="str">
        <f t="shared" si="2"/>
        <v>%</v>
      </c>
      <c r="E20" s="96">
        <f>0</f>
        <v>0</v>
      </c>
      <c r="F20" s="134" t="str">
        <f t="shared" si="3"/>
        <v>%</v>
      </c>
      <c r="G20" s="96">
        <f>0</f>
        <v>0</v>
      </c>
      <c r="H20" s="134" t="str">
        <f t="shared" si="3"/>
        <v>%</v>
      </c>
      <c r="I20" s="96">
        <f>0</f>
        <v>0</v>
      </c>
      <c r="J20" s="134" t="str">
        <f t="shared" si="3"/>
        <v>%</v>
      </c>
      <c r="K20" s="96">
        <f>0</f>
        <v>0</v>
      </c>
      <c r="L20" s="134" t="str">
        <f t="shared" si="3"/>
        <v>%</v>
      </c>
      <c r="M20" s="116">
        <f>0</f>
        <v>0</v>
      </c>
      <c r="N20" s="134" t="str">
        <f t="shared" si="3"/>
        <v>%</v>
      </c>
      <c r="O20" s="96">
        <f>0</f>
        <v>0</v>
      </c>
      <c r="P20" s="134" t="str">
        <f t="shared" si="3"/>
        <v>%</v>
      </c>
      <c r="Q20" s="112" t="str">
        <f t="shared" si="1"/>
        <v>%</v>
      </c>
      <c r="R20" s="140" t="str">
        <f t="shared" si="0"/>
        <v>%</v>
      </c>
    </row>
    <row r="21" spans="1:18" ht="15" customHeight="1" x14ac:dyDescent="0.25">
      <c r="A21" s="113" t="s">
        <v>122</v>
      </c>
      <c r="B21" s="98">
        <f>SUM(B11,B13,B15,B17,B19)</f>
        <v>0</v>
      </c>
      <c r="C21" s="98">
        <f t="shared" ref="C21:G21" si="4">SUM(C11,C13,C15,C17,C19)</f>
        <v>0</v>
      </c>
      <c r="D21" s="134" t="str">
        <f t="shared" si="2"/>
        <v>%</v>
      </c>
      <c r="E21" s="98">
        <f t="shared" si="4"/>
        <v>0</v>
      </c>
      <c r="F21" s="134" t="str">
        <f t="shared" si="3"/>
        <v>%</v>
      </c>
      <c r="G21" s="98">
        <f t="shared" si="4"/>
        <v>0</v>
      </c>
      <c r="H21" s="134" t="str">
        <f t="shared" si="3"/>
        <v>%</v>
      </c>
      <c r="I21" s="98">
        <f t="shared" ref="I21:O21" si="5">SUM(I11,I13,I15,I17,I19)</f>
        <v>0</v>
      </c>
      <c r="J21" s="134" t="str">
        <f t="shared" si="3"/>
        <v>%</v>
      </c>
      <c r="K21" s="98">
        <f t="shared" si="5"/>
        <v>0</v>
      </c>
      <c r="L21" s="134" t="str">
        <f t="shared" si="3"/>
        <v>%</v>
      </c>
      <c r="M21" s="117">
        <f t="shared" si="5"/>
        <v>0</v>
      </c>
      <c r="N21" s="134" t="str">
        <f t="shared" si="3"/>
        <v>%</v>
      </c>
      <c r="O21" s="98">
        <f t="shared" si="5"/>
        <v>0</v>
      </c>
      <c r="P21" s="134" t="str">
        <f t="shared" si="3"/>
        <v>%</v>
      </c>
      <c r="Q21" s="112" t="str">
        <f t="shared" si="1"/>
        <v>%</v>
      </c>
      <c r="R21" s="140" t="str">
        <f t="shared" si="0"/>
        <v>%</v>
      </c>
    </row>
    <row r="22" spans="1:18" ht="15" customHeight="1" x14ac:dyDescent="0.25">
      <c r="A22" s="113" t="s">
        <v>123</v>
      </c>
      <c r="B22" s="98">
        <f>SUM(B12,B14,B16,B18,B20)</f>
        <v>0</v>
      </c>
      <c r="C22" s="98">
        <f t="shared" ref="C22:G22" si="6">SUM(C12,C14,C16,C18,C20)</f>
        <v>0</v>
      </c>
      <c r="D22" s="134" t="str">
        <f t="shared" si="2"/>
        <v>%</v>
      </c>
      <c r="E22" s="98">
        <f t="shared" si="6"/>
        <v>0</v>
      </c>
      <c r="F22" s="134" t="str">
        <f t="shared" si="3"/>
        <v>%</v>
      </c>
      <c r="G22" s="98">
        <f t="shared" si="6"/>
        <v>0</v>
      </c>
      <c r="H22" s="134" t="str">
        <f t="shared" si="3"/>
        <v>%</v>
      </c>
      <c r="I22" s="98">
        <f t="shared" ref="I22:O22" si="7">SUM(I12,I14,I16,I18,I20)</f>
        <v>0</v>
      </c>
      <c r="J22" s="134" t="str">
        <f t="shared" si="3"/>
        <v>%</v>
      </c>
      <c r="K22" s="98">
        <f t="shared" si="7"/>
        <v>0</v>
      </c>
      <c r="L22" s="134" t="str">
        <f t="shared" si="3"/>
        <v>%</v>
      </c>
      <c r="M22" s="117">
        <f t="shared" si="7"/>
        <v>0</v>
      </c>
      <c r="N22" s="134" t="str">
        <f t="shared" si="3"/>
        <v>%</v>
      </c>
      <c r="O22" s="98">
        <f t="shared" si="7"/>
        <v>0</v>
      </c>
      <c r="P22" s="134" t="str">
        <f t="shared" si="3"/>
        <v>%</v>
      </c>
      <c r="Q22" s="112" t="str">
        <f t="shared" si="1"/>
        <v>%</v>
      </c>
      <c r="R22" s="140" t="str">
        <f t="shared" si="0"/>
        <v>%</v>
      </c>
    </row>
    <row r="23" spans="1:18" ht="15" customHeight="1" x14ac:dyDescent="0.25">
      <c r="A23" s="97" t="s">
        <v>124</v>
      </c>
      <c r="B23" s="96">
        <v>5799811</v>
      </c>
      <c r="C23" s="96">
        <v>5953267</v>
      </c>
      <c r="D23" s="134">
        <f t="shared" si="2"/>
        <v>2.6458793226193045E-2</v>
      </c>
      <c r="E23" s="96">
        <v>6012750</v>
      </c>
      <c r="F23" s="134">
        <f t="shared" si="3"/>
        <v>9.9916566819528985E-3</v>
      </c>
      <c r="G23" s="96">
        <v>6072827</v>
      </c>
      <c r="H23" s="134">
        <f t="shared" si="3"/>
        <v>9.9916011808240945E-3</v>
      </c>
      <c r="I23" s="96">
        <v>6133506</v>
      </c>
      <c r="J23" s="134">
        <f t="shared" si="3"/>
        <v>9.9918868098827218E-3</v>
      </c>
      <c r="K23" s="96">
        <v>6194792</v>
      </c>
      <c r="L23" s="134">
        <f t="shared" si="3"/>
        <v>9.9920013121370665E-3</v>
      </c>
      <c r="M23" s="116">
        <v>6256689</v>
      </c>
      <c r="N23" s="134">
        <f t="shared" si="3"/>
        <v>9.9917801921356464E-3</v>
      </c>
      <c r="O23" s="96">
        <v>6319204</v>
      </c>
      <c r="P23" s="134">
        <f t="shared" si="3"/>
        <v>9.9917064760610685E-3</v>
      </c>
      <c r="Q23" s="112">
        <f t="shared" si="1"/>
        <v>8.9553435448155083E-2</v>
      </c>
      <c r="R23" s="140">
        <f t="shared" si="0"/>
        <v>1.2327930130859865E-2</v>
      </c>
    </row>
    <row r="24" spans="1:18" ht="15" customHeight="1" x14ac:dyDescent="0.25">
      <c r="A24" s="114" t="s">
        <v>125</v>
      </c>
      <c r="B24" s="98">
        <f>SUM(B7:B20,B23)</f>
        <v>257997796</v>
      </c>
      <c r="C24" s="98">
        <f>SUM(C7:C20,C23)</f>
        <v>263600905</v>
      </c>
      <c r="D24" s="134">
        <f t="shared" ref="D24" si="8">IF(B24=0,"%",C24/B24-1)</f>
        <v>2.1717662270262172E-2</v>
      </c>
      <c r="E24" s="98">
        <f>SUM(E7:E20,E23)</f>
        <v>270672684</v>
      </c>
      <c r="F24" s="134">
        <f t="shared" ref="F24" si="9">IF(C24=0,"%",E24/C24-1)</f>
        <v>2.6827597575964424E-2</v>
      </c>
      <c r="G24" s="98">
        <f>SUM(G7:G20,G23)</f>
        <v>279173621</v>
      </c>
      <c r="H24" s="134">
        <f t="shared" ref="H24" si="10">IF(E24=0,"%",G24/E24-1)</f>
        <v>3.1406704490357873E-2</v>
      </c>
      <c r="I24" s="98">
        <f>SUM(I7:I20,I23)</f>
        <v>277723562</v>
      </c>
      <c r="J24" s="134">
        <f t="shared" ref="J24" si="11">IF(G24=0,"%",I24/G24-1)</f>
        <v>-5.1941118032781119E-3</v>
      </c>
      <c r="K24" s="98">
        <f>SUM(K7:K20,K23)</f>
        <v>276765991</v>
      </c>
      <c r="L24" s="134">
        <f t="shared" ref="L24" si="12">IF(I24=0,"%",K24/I24-1)</f>
        <v>-3.4479285556621164E-3</v>
      </c>
      <c r="M24" s="98">
        <f>SUM(M7:M20,M23)</f>
        <v>276078707</v>
      </c>
      <c r="N24" s="134">
        <f t="shared" ref="N24" si="13">IF(K24=0,"%",M24/K24-1)</f>
        <v>-2.4832675341242005E-3</v>
      </c>
      <c r="O24" s="98">
        <f>SUM(O7:O20,O23)</f>
        <v>275680876</v>
      </c>
      <c r="P24" s="134">
        <f t="shared" ref="P24" si="14">IF(M24=0,"%",O24/M24-1)</f>
        <v>-1.4410057346436744E-3</v>
      </c>
      <c r="Q24" s="112">
        <f t="shared" si="1"/>
        <v>6.8539655276744993E-2</v>
      </c>
      <c r="R24" s="140">
        <f t="shared" ref="R24" si="15">IF(B24=0,"%",(O24/B24)^(1/7)-1)</f>
        <v>9.5154017311944727E-3</v>
      </c>
    </row>
    <row r="25" spans="1:18" ht="15" customHeight="1" x14ac:dyDescent="0.25">
      <c r="A25" s="141" t="s">
        <v>126</v>
      </c>
      <c r="B25" s="142">
        <f>164849789-14894388+13850346</f>
        <v>163805747</v>
      </c>
      <c r="C25" s="142">
        <f>+B25+13382413-7067662+314338+19168696-13850346</f>
        <v>175753186</v>
      </c>
      <c r="D25" s="134">
        <f t="shared" ref="D25" si="16">IF(B25=0,"%",C25/B25-1)</f>
        <v>7.293662901827247E-2</v>
      </c>
      <c r="E25" s="98">
        <f>C25</f>
        <v>175753186</v>
      </c>
      <c r="F25" s="134">
        <f t="shared" ref="F25" si="17">IF(C25=0,"%",E25/C25-1)</f>
        <v>0</v>
      </c>
      <c r="G25" s="98">
        <f>E25</f>
        <v>175753186</v>
      </c>
      <c r="H25" s="134">
        <f t="shared" ref="H25" si="18">IF(E25=0,"%",G25/E25-1)</f>
        <v>0</v>
      </c>
      <c r="I25" s="98">
        <f>G25</f>
        <v>175753186</v>
      </c>
      <c r="J25" s="134">
        <f t="shared" ref="J25" si="19">IF(G25=0,"%",I25/G25-1)</f>
        <v>0</v>
      </c>
      <c r="K25" s="98">
        <f>I25</f>
        <v>175753186</v>
      </c>
      <c r="L25" s="134">
        <f t="shared" ref="L25" si="20">IF(I25=0,"%",K25/I25-1)</f>
        <v>0</v>
      </c>
      <c r="M25" s="98">
        <f>K25</f>
        <v>175753186</v>
      </c>
      <c r="N25" s="134">
        <f t="shared" ref="N25" si="21">IF(K25=0,"%",M25/K25-1)</f>
        <v>0</v>
      </c>
      <c r="O25" s="98">
        <f>M25</f>
        <v>175753186</v>
      </c>
      <c r="P25" s="134">
        <f t="shared" ref="P25" si="22">IF(M25=0,"%",O25/M25-1)</f>
        <v>0</v>
      </c>
      <c r="Q25" s="112">
        <f t="shared" si="1"/>
        <v>7.293662901827247E-2</v>
      </c>
      <c r="R25" s="140">
        <f t="shared" ref="R25" si="23">IF(B25=0,"%",(O25/B25)^(1/7)-1)</f>
        <v>1.0107799633372272E-2</v>
      </c>
    </row>
    <row r="26" spans="1:18" ht="15" customHeight="1" x14ac:dyDescent="0.25">
      <c r="A26" s="114" t="s">
        <v>127</v>
      </c>
      <c r="B26" s="98">
        <f>B25+B24</f>
        <v>421803543</v>
      </c>
      <c r="C26" s="98">
        <f>C25+C24</f>
        <v>439354091</v>
      </c>
      <c r="D26" s="134">
        <f t="shared" si="2"/>
        <v>4.1608346566211818E-2</v>
      </c>
      <c r="E26" s="98">
        <f>E25+E24</f>
        <v>446425870</v>
      </c>
      <c r="F26" s="134">
        <f t="shared" si="3"/>
        <v>1.6095853310263086E-2</v>
      </c>
      <c r="G26" s="98">
        <f>G25+G24</f>
        <v>454926807</v>
      </c>
      <c r="H26" s="134">
        <f t="shared" si="3"/>
        <v>1.9042214108246025E-2</v>
      </c>
      <c r="I26" s="98">
        <f>I25+I24</f>
        <v>453476748</v>
      </c>
      <c r="J26" s="134">
        <f t="shared" si="3"/>
        <v>-3.1874556031603607E-3</v>
      </c>
      <c r="K26" s="98">
        <f>K25+K24</f>
        <v>452519177</v>
      </c>
      <c r="L26" s="134">
        <f t="shared" si="3"/>
        <v>-2.1116209468804437E-3</v>
      </c>
      <c r="M26" s="98">
        <f>M25+M24</f>
        <v>451831893</v>
      </c>
      <c r="N26" s="134">
        <f t="shared" si="3"/>
        <v>-1.5187953017955502E-3</v>
      </c>
      <c r="O26" s="98">
        <f>O25+O24</f>
        <v>451434062</v>
      </c>
      <c r="P26" s="134">
        <f t="shared" si="3"/>
        <v>-8.8048454782274632E-4</v>
      </c>
      <c r="Q26" s="112">
        <f t="shared" si="1"/>
        <v>7.0247202736274827E-2</v>
      </c>
      <c r="R26" s="140">
        <f t="shared" si="0"/>
        <v>9.7457048435385385E-3</v>
      </c>
    </row>
    <row r="27" spans="1:18" ht="15" customHeight="1" x14ac:dyDescent="0.25">
      <c r="A27" s="85"/>
      <c r="B27" s="47"/>
      <c r="C27" s="47"/>
      <c r="D27" s="135"/>
      <c r="E27" s="47"/>
      <c r="F27" s="135"/>
      <c r="G27" s="47"/>
      <c r="H27" s="135"/>
      <c r="I27" s="47"/>
      <c r="J27" s="135"/>
      <c r="K27" s="47"/>
      <c r="L27" s="135"/>
      <c r="M27" s="47"/>
      <c r="N27" s="135"/>
      <c r="O27" s="47"/>
      <c r="P27" s="135"/>
    </row>
    <row r="28" spans="1:18" ht="15" customHeight="1" x14ac:dyDescent="0.25">
      <c r="A28" s="85"/>
      <c r="B28" s="47"/>
      <c r="C28" s="47"/>
      <c r="D28" s="135"/>
      <c r="E28" s="47"/>
      <c r="F28" s="135"/>
      <c r="G28" s="47"/>
      <c r="H28" s="135"/>
      <c r="J28" s="135"/>
      <c r="L28" s="135"/>
      <c r="N28" s="135"/>
      <c r="P28" s="135"/>
    </row>
    <row r="29" spans="1:18" ht="15" customHeight="1" x14ac:dyDescent="0.25">
      <c r="A29" s="73"/>
      <c r="B29" s="92" t="s">
        <v>93</v>
      </c>
      <c r="C29" s="92" t="s">
        <v>94</v>
      </c>
      <c r="D29" s="133"/>
      <c r="E29" s="92" t="s">
        <v>95</v>
      </c>
      <c r="F29" s="133"/>
      <c r="G29" s="92" t="s">
        <v>96</v>
      </c>
      <c r="H29" s="133"/>
      <c r="J29"/>
      <c r="L29"/>
      <c r="N29"/>
      <c r="P29"/>
    </row>
    <row r="30" spans="1:18" ht="15" customHeight="1" x14ac:dyDescent="0.25">
      <c r="A30" s="86" t="s">
        <v>128</v>
      </c>
      <c r="B30" s="87" t="s">
        <v>129</v>
      </c>
      <c r="C30" s="87" t="s">
        <v>129</v>
      </c>
      <c r="D30" s="138" t="s">
        <v>102</v>
      </c>
      <c r="E30" s="87" t="s">
        <v>129</v>
      </c>
      <c r="F30" s="138" t="s">
        <v>102</v>
      </c>
      <c r="G30" s="87" t="s">
        <v>129</v>
      </c>
      <c r="H30" s="138" t="s">
        <v>102</v>
      </c>
      <c r="J30"/>
      <c r="L30"/>
      <c r="N30"/>
      <c r="P30"/>
    </row>
    <row r="31" spans="1:18" ht="15" customHeight="1" x14ac:dyDescent="0.25">
      <c r="A31" s="97" t="s">
        <v>130</v>
      </c>
      <c r="B31" s="96">
        <f>ROUND(101315749*0.77,0)</f>
        <v>78013127</v>
      </c>
      <c r="C31" s="96">
        <v>81085237</v>
      </c>
      <c r="D31" s="134">
        <f>IF(B31=0,"%",C31/B31-1)</f>
        <v>3.9379398290239065E-2</v>
      </c>
      <c r="E31" s="96">
        <v>82621221</v>
      </c>
      <c r="F31" s="134">
        <f>IF(C31=0,"%",E31/C31-1)</f>
        <v>1.8942831726569409E-2</v>
      </c>
      <c r="G31" s="96">
        <v>83597707</v>
      </c>
      <c r="H31" s="134">
        <f>IF(E31=0,"%",G31/E31-1)</f>
        <v>1.1818827998196779E-2</v>
      </c>
      <c r="J31"/>
      <c r="L31"/>
      <c r="N31"/>
      <c r="P31"/>
    </row>
    <row r="32" spans="1:18" ht="15" customHeight="1" x14ac:dyDescent="0.25">
      <c r="A32" s="97" t="s">
        <v>131</v>
      </c>
      <c r="B32" s="96">
        <f>101115749+200000-B31</f>
        <v>23302622</v>
      </c>
      <c r="C32" s="96">
        <f>104663634-C31</f>
        <v>23578397</v>
      </c>
      <c r="D32" s="134">
        <f t="shared" ref="D32:D34" si="24">IF(B32=0,"%",C32/B32-1)</f>
        <v>1.1834505147103158E-2</v>
      </c>
      <c r="E32" s="96">
        <f>106982663-E31</f>
        <v>24361442</v>
      </c>
      <c r="F32" s="134">
        <f t="shared" ref="F32:H34" si="25">IF(C32=0,"%",E32/C32-1)</f>
        <v>3.3210272946036179E-2</v>
      </c>
      <c r="G32" s="96">
        <f>109167508-G31</f>
        <v>25569801</v>
      </c>
      <c r="H32" s="134">
        <f t="shared" si="25"/>
        <v>4.9601292074582526E-2</v>
      </c>
      <c r="J32"/>
      <c r="L32"/>
      <c r="N32"/>
      <c r="P32"/>
    </row>
    <row r="33" spans="1:16" ht="15" customHeight="1" x14ac:dyDescent="0.25">
      <c r="A33" s="113" t="s">
        <v>132</v>
      </c>
      <c r="B33" s="98">
        <f>B32+B31</f>
        <v>101315749</v>
      </c>
      <c r="C33" s="98">
        <f>C32+C31</f>
        <v>104663634</v>
      </c>
      <c r="D33" s="134">
        <f t="shared" si="24"/>
        <v>3.304407294072309E-2</v>
      </c>
      <c r="E33" s="98">
        <f t="shared" ref="E33:G33" si="26">E32+E31</f>
        <v>106982663</v>
      </c>
      <c r="F33" s="134">
        <f t="shared" si="25"/>
        <v>2.2156970013099242E-2</v>
      </c>
      <c r="G33" s="98">
        <f t="shared" si="26"/>
        <v>109167508</v>
      </c>
      <c r="H33" s="134">
        <f t="shared" si="25"/>
        <v>2.0422421154350889E-2</v>
      </c>
      <c r="J33"/>
      <c r="L33"/>
      <c r="N33"/>
      <c r="P33"/>
    </row>
    <row r="34" spans="1:16" ht="15" customHeight="1" x14ac:dyDescent="0.25">
      <c r="A34" s="99" t="s">
        <v>133</v>
      </c>
      <c r="B34" s="96">
        <v>248768567</v>
      </c>
      <c r="C34" s="96">
        <v>259776594</v>
      </c>
      <c r="D34" s="134">
        <f t="shared" si="24"/>
        <v>4.4250071995631135E-2</v>
      </c>
      <c r="E34" s="96">
        <v>275698469</v>
      </c>
      <c r="F34" s="134">
        <f t="shared" si="25"/>
        <v>6.1290644991673027E-2</v>
      </c>
      <c r="G34" s="96">
        <v>295187690</v>
      </c>
      <c r="H34" s="134">
        <f t="shared" si="25"/>
        <v>7.0690349027654475E-2</v>
      </c>
      <c r="J34"/>
      <c r="L34"/>
      <c r="N34"/>
      <c r="P34"/>
    </row>
    <row r="35" spans="1:16" ht="15" customHeight="1" x14ac:dyDescent="0.25">
      <c r="A35" s="88"/>
      <c r="B35" s="47"/>
      <c r="C35" s="47"/>
      <c r="D35" s="136"/>
      <c r="E35" s="47"/>
      <c r="F35" s="136"/>
      <c r="G35" s="47"/>
      <c r="H35" s="136"/>
      <c r="J35" s="136"/>
      <c r="L35" s="136"/>
      <c r="N35" s="136"/>
      <c r="P35" s="136"/>
    </row>
  </sheetData>
  <sheetProtection selectLockedCells="1"/>
  <mergeCells count="4">
    <mergeCell ref="A2:G2"/>
    <mergeCell ref="A4:A5"/>
    <mergeCell ref="A3:G3"/>
    <mergeCell ref="I3:O3"/>
  </mergeCells>
  <phoneticPr fontId="10" type="noConversion"/>
  <pageMargins left="0.5" right="0" top="0" bottom="0" header="0" footer="0.1"/>
  <pageSetup scale="54" orientation="landscape" r:id="rId1"/>
  <headerFooter alignWithMargins="0">
    <oddFooter>&amp;L2017 Six-Year Plan - Finance-Tuition and Fees &amp;C&amp;P of &amp;N&amp;RSCHEV - 5/23/17</oddFooter>
  </headerFooter>
  <ignoredErrors>
    <ignoredError sqref="G11:G20 B11:C20 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11"/>
  <sheetViews>
    <sheetView view="pageBreakPreview" topLeftCell="A91" zoomScaleNormal="100" zoomScaleSheetLayoutView="100" workbookViewId="0">
      <selection activeCell="J45" sqref="J45"/>
    </sheetView>
  </sheetViews>
  <sheetFormatPr defaultColWidth="9.33203125" defaultRowHeight="13.2" x14ac:dyDescent="0.25"/>
  <cols>
    <col min="1" max="1" width="34.6640625" style="8" customWidth="1"/>
    <col min="2" max="2" width="17.5546875" style="8" customWidth="1"/>
    <col min="3" max="3" width="20" style="8" customWidth="1"/>
    <col min="4" max="5" width="17.5546875" style="8" customWidth="1"/>
    <col min="6" max="6" width="17.88671875" style="8" customWidth="1"/>
    <col min="7" max="7" width="17.33203125" style="8" customWidth="1"/>
    <col min="8" max="8" width="18.33203125" style="8" customWidth="1"/>
    <col min="9" max="9" width="15.5546875" style="122" customWidth="1"/>
    <col min="10" max="10" width="13" style="8" customWidth="1"/>
    <col min="11" max="16384" width="9.33203125" style="8"/>
  </cols>
  <sheetData>
    <row r="1" spans="1:11" ht="20.100000000000001" customHeight="1" x14ac:dyDescent="0.25">
      <c r="A1" s="48" t="s">
        <v>134</v>
      </c>
      <c r="B1" s="48"/>
      <c r="C1" s="48"/>
      <c r="D1" s="48"/>
      <c r="E1" s="48"/>
    </row>
    <row r="2" spans="1:11" ht="20.100000000000001" customHeight="1" x14ac:dyDescent="0.25">
      <c r="A2" s="448" t="str">
        <f>'Institution ID'!C3</f>
        <v>James Madison University</v>
      </c>
      <c r="B2" s="448"/>
      <c r="C2" s="448"/>
      <c r="D2" s="448"/>
      <c r="E2" s="448"/>
    </row>
    <row r="3" spans="1:11" s="7" customFormat="1" ht="70.5" customHeight="1" x14ac:dyDescent="0.25">
      <c r="A3" s="460" t="s">
        <v>135</v>
      </c>
      <c r="B3" s="460"/>
      <c r="C3" s="460"/>
      <c r="D3" s="460"/>
      <c r="E3" s="460"/>
      <c r="F3" s="460"/>
      <c r="G3" s="460"/>
      <c r="H3" s="460"/>
      <c r="I3" s="123"/>
    </row>
    <row r="4" spans="1:11" s="7" customFormat="1" ht="41.7" customHeight="1" x14ac:dyDescent="0.25">
      <c r="A4" s="460" t="s">
        <v>136</v>
      </c>
      <c r="B4" s="460"/>
      <c r="C4" s="460"/>
      <c r="D4" s="460"/>
      <c r="E4" s="460"/>
      <c r="F4" s="460"/>
      <c r="G4" s="460"/>
      <c r="H4" s="460"/>
      <c r="I4" s="123"/>
    </row>
    <row r="5" spans="1:11" s="10" customFormat="1" ht="38.1" customHeight="1" x14ac:dyDescent="0.25">
      <c r="A5" s="461" t="s">
        <v>137</v>
      </c>
      <c r="B5" s="461"/>
      <c r="C5" s="461"/>
      <c r="D5" s="461"/>
      <c r="E5" s="461"/>
      <c r="F5" s="461"/>
      <c r="G5" s="461"/>
      <c r="H5" s="461"/>
      <c r="I5" s="124"/>
    </row>
    <row r="6" spans="1:11" s="10" customFormat="1" ht="20.100000000000001" customHeight="1" x14ac:dyDescent="0.4">
      <c r="A6" s="462" t="s">
        <v>138</v>
      </c>
      <c r="B6" s="462"/>
      <c r="C6" s="462"/>
      <c r="D6" s="462"/>
      <c r="E6" s="462"/>
      <c r="F6" s="462"/>
      <c r="G6" s="371"/>
      <c r="H6" s="371"/>
      <c r="I6" s="125"/>
    </row>
    <row r="7" spans="1:11" s="10" customFormat="1" ht="15" customHeight="1" x14ac:dyDescent="0.25">
      <c r="A7" s="458" t="s">
        <v>139</v>
      </c>
      <c r="B7" s="459"/>
      <c r="C7" s="459"/>
      <c r="D7" s="459"/>
      <c r="E7" s="459"/>
      <c r="F7" s="459"/>
      <c r="G7" s="459"/>
      <c r="H7" s="459"/>
      <c r="I7" s="126"/>
    </row>
    <row r="8" spans="1:11" s="10" customFormat="1" ht="15" customHeight="1" x14ac:dyDescent="0.25">
      <c r="A8" s="470" t="s">
        <v>140</v>
      </c>
      <c r="B8" s="466" t="s">
        <v>141</v>
      </c>
      <c r="C8" s="466" t="s">
        <v>142</v>
      </c>
      <c r="D8" s="472" t="s">
        <v>143</v>
      </c>
      <c r="E8" s="466" t="s">
        <v>144</v>
      </c>
      <c r="F8" s="466" t="s">
        <v>145</v>
      </c>
      <c r="G8" s="454" t="s">
        <v>146</v>
      </c>
      <c r="H8" s="455" t="s">
        <v>147</v>
      </c>
      <c r="I8" s="463" t="s">
        <v>148</v>
      </c>
    </row>
    <row r="9" spans="1:11" s="10" customFormat="1" ht="16.350000000000001" customHeight="1" thickBot="1" x14ac:dyDescent="0.3">
      <c r="A9" s="470"/>
      <c r="B9" s="467"/>
      <c r="C9" s="467"/>
      <c r="D9" s="472"/>
      <c r="E9" s="467"/>
      <c r="F9" s="467"/>
      <c r="G9" s="455"/>
      <c r="H9" s="455"/>
      <c r="I9" s="464"/>
    </row>
    <row r="10" spans="1:11" s="10" customFormat="1" ht="16.350000000000001" customHeight="1" x14ac:dyDescent="0.25">
      <c r="A10" s="470"/>
      <c r="B10" s="468"/>
      <c r="C10" s="468"/>
      <c r="D10" s="472"/>
      <c r="E10" s="468"/>
      <c r="F10" s="468"/>
      <c r="G10" s="456"/>
      <c r="H10" s="456"/>
      <c r="I10" s="464"/>
      <c r="J10" s="449" t="s">
        <v>149</v>
      </c>
      <c r="K10" s="450"/>
    </row>
    <row r="11" spans="1:11" s="10" customFormat="1" ht="16.350000000000001" customHeight="1" thickBot="1" x14ac:dyDescent="0.3">
      <c r="A11" s="471"/>
      <c r="B11" s="469"/>
      <c r="C11" s="469"/>
      <c r="D11" s="473"/>
      <c r="E11" s="469"/>
      <c r="F11" s="469"/>
      <c r="G11" s="457"/>
      <c r="H11" s="457"/>
      <c r="I11" s="465"/>
      <c r="J11" s="451" t="s">
        <v>150</v>
      </c>
      <c r="K11" s="452"/>
    </row>
    <row r="12" spans="1:11" s="10" customFormat="1" ht="16.350000000000001" customHeight="1" x14ac:dyDescent="0.25">
      <c r="A12" s="32" t="s">
        <v>108</v>
      </c>
      <c r="B12" s="37">
        <f>+'2-Revenue'!B7</f>
        <v>123371623</v>
      </c>
      <c r="C12" s="33">
        <f>ROUND($E$18/$B$18*B12,0)</f>
        <v>5493936</v>
      </c>
      <c r="D12" s="74">
        <f t="shared" ref="D12:D18" si="0">IF(C12=0,"%",C12/B12)</f>
        <v>4.4531601890330973E-2</v>
      </c>
      <c r="E12" s="33">
        <v>11008860</v>
      </c>
      <c r="F12" s="33">
        <f>0</f>
        <v>0</v>
      </c>
      <c r="G12" s="80">
        <v>7452021</v>
      </c>
      <c r="H12" s="118">
        <f>B12+F12+G12</f>
        <v>130823644</v>
      </c>
      <c r="I12" s="127">
        <f>IF(H12=0,"%",(F12+G12)/H12)</f>
        <v>5.6962340844136705E-2</v>
      </c>
      <c r="J12" s="75">
        <f>(C12+C14+C16)-(E12+E14+E16)</f>
        <v>-4943429</v>
      </c>
      <c r="K12" s="76" t="str">
        <f>IF(J12&gt;0,"WARNING: IS subsidizing OS","Compliant")</f>
        <v>Compliant</v>
      </c>
    </row>
    <row r="13" spans="1:11" s="10" customFormat="1" ht="15" customHeight="1" x14ac:dyDescent="0.25">
      <c r="A13" s="34" t="s">
        <v>109</v>
      </c>
      <c r="B13" s="38">
        <f>+'2-Revenue'!B8</f>
        <v>107061451</v>
      </c>
      <c r="C13" s="33">
        <f t="shared" ref="C13:C14" si="1">ROUND($E$18/$B$18*B13,0)</f>
        <v>4767618</v>
      </c>
      <c r="D13" s="74">
        <f t="shared" si="0"/>
        <v>4.4531602696100202E-2</v>
      </c>
      <c r="E13" s="33">
        <v>221920</v>
      </c>
      <c r="F13" s="33">
        <v>1698274</v>
      </c>
      <c r="G13" s="80">
        <v>419924</v>
      </c>
      <c r="H13" s="119">
        <f t="shared" ref="H13:H17" si="2">B13+F13+G13</f>
        <v>109179649</v>
      </c>
      <c r="I13" s="127">
        <f t="shared" ref="I13:I18" si="3">IF(H13=0,"%",(F13+G13)/H13)</f>
        <v>1.9401033245673834E-2</v>
      </c>
    </row>
    <row r="14" spans="1:11" s="10" customFormat="1" ht="15" customHeight="1" x14ac:dyDescent="0.25">
      <c r="A14" s="34" t="s">
        <v>110</v>
      </c>
      <c r="B14" s="38">
        <f>+'2-Revenue'!B9</f>
        <v>12833482</v>
      </c>
      <c r="C14" s="33">
        <f t="shared" si="1"/>
        <v>571495</v>
      </c>
      <c r="D14" s="74">
        <f t="shared" si="0"/>
        <v>4.4531562049956515E-2</v>
      </c>
      <c r="E14" s="33">
        <v>0</v>
      </c>
      <c r="F14" s="33">
        <f>0</f>
        <v>0</v>
      </c>
      <c r="G14" s="80">
        <f>502399+127931+45486+668794</f>
        <v>1344610</v>
      </c>
      <c r="H14" s="119">
        <f t="shared" si="2"/>
        <v>14178092</v>
      </c>
      <c r="I14" s="127">
        <f t="shared" si="3"/>
        <v>9.4837161445983004E-2</v>
      </c>
    </row>
    <row r="15" spans="1:11" s="10" customFormat="1" ht="15" customHeight="1" x14ac:dyDescent="0.25">
      <c r="A15" s="34" t="s">
        <v>111</v>
      </c>
      <c r="B15" s="38">
        <f>+'2-Revenue'!B10</f>
        <v>8931429</v>
      </c>
      <c r="C15" s="33">
        <f>ROUND($E$18/$B$18*B15,0)+1</f>
        <v>397732</v>
      </c>
      <c r="D15" s="74">
        <f t="shared" si="0"/>
        <v>4.4531731708330212E-2</v>
      </c>
      <c r="E15" s="33">
        <f>0</f>
        <v>0</v>
      </c>
      <c r="F15" s="33">
        <f>0</f>
        <v>0</v>
      </c>
      <c r="G15" s="80">
        <f>42217+15924</f>
        <v>58141</v>
      </c>
      <c r="H15" s="119">
        <f t="shared" si="2"/>
        <v>8989570</v>
      </c>
      <c r="I15" s="127">
        <f>IF(H15=0,"%",(F15+G15)/H15)</f>
        <v>6.4676063482458001E-3</v>
      </c>
    </row>
    <row r="16" spans="1:11" s="10" customFormat="1" ht="15" customHeight="1" x14ac:dyDescent="0.25">
      <c r="A16" s="34" t="s">
        <v>151</v>
      </c>
      <c r="B16" s="38">
        <f>+SUM('2-Revenue'!B11+'2-Revenue'!B13+'2-Revenue'!B15+'2-Revenue'!B17+'2-Revenue'!B19)</f>
        <v>0</v>
      </c>
      <c r="C16" s="33">
        <v>0</v>
      </c>
      <c r="D16" s="74" t="str">
        <f t="shared" si="0"/>
        <v>%</v>
      </c>
      <c r="E16" s="33">
        <v>0</v>
      </c>
      <c r="F16" s="33">
        <f>0</f>
        <v>0</v>
      </c>
      <c r="G16" s="80">
        <f>0</f>
        <v>0</v>
      </c>
      <c r="H16" s="119">
        <f t="shared" si="2"/>
        <v>0</v>
      </c>
      <c r="I16" s="127" t="str">
        <f t="shared" si="3"/>
        <v>%</v>
      </c>
    </row>
    <row r="17" spans="1:11" s="10" customFormat="1" ht="15" customHeight="1" thickBot="1" x14ac:dyDescent="0.3">
      <c r="A17" s="35" t="s">
        <v>152</v>
      </c>
      <c r="B17" s="38">
        <f>+SUM('2-Revenue'!B12+'2-Revenue'!B14+'2-Revenue'!B16+'2-Revenue'!B18+'2-Revenue'!B20)</f>
        <v>0</v>
      </c>
      <c r="C17" s="33">
        <f>0</f>
        <v>0</v>
      </c>
      <c r="D17" s="77" t="str">
        <f t="shared" si="0"/>
        <v>%</v>
      </c>
      <c r="E17" s="33">
        <f>0</f>
        <v>0</v>
      </c>
      <c r="F17" s="33">
        <f>0</f>
        <v>0</v>
      </c>
      <c r="G17" s="80">
        <f>0</f>
        <v>0</v>
      </c>
      <c r="H17" s="120">
        <f t="shared" si="2"/>
        <v>0</v>
      </c>
      <c r="I17" s="127" t="str">
        <f t="shared" si="3"/>
        <v>%</v>
      </c>
    </row>
    <row r="18" spans="1:11" s="10" customFormat="1" ht="15" customHeight="1" thickBot="1" x14ac:dyDescent="0.3">
      <c r="A18" s="36" t="s">
        <v>153</v>
      </c>
      <c r="B18" s="39">
        <f>SUM(B12:B17)</f>
        <v>252197985</v>
      </c>
      <c r="C18" s="39">
        <f t="shared" ref="C18:G18" si="4">SUM(C12:C17)</f>
        <v>11230781</v>
      </c>
      <c r="D18" s="78">
        <f t="shared" si="0"/>
        <v>4.4531604802472945E-2</v>
      </c>
      <c r="E18" s="39">
        <f t="shared" si="4"/>
        <v>11230780</v>
      </c>
      <c r="F18" s="39">
        <f t="shared" si="4"/>
        <v>1698274</v>
      </c>
      <c r="G18" s="39">
        <f t="shared" si="4"/>
        <v>9274696</v>
      </c>
      <c r="H18" s="121">
        <f t="shared" ref="H18" si="5">SUM(H12:H17)</f>
        <v>263170955</v>
      </c>
      <c r="I18" s="128">
        <f t="shared" si="3"/>
        <v>4.1695216708089997E-2</v>
      </c>
    </row>
    <row r="19" spans="1:11" s="10" customFormat="1" ht="15" customHeight="1" x14ac:dyDescent="0.25">
      <c r="A19" s="453"/>
      <c r="B19" s="453"/>
      <c r="C19" s="453"/>
      <c r="D19" s="453"/>
      <c r="E19" s="453"/>
      <c r="I19" s="129"/>
    </row>
    <row r="20" spans="1:11" s="10" customFormat="1" ht="15" customHeight="1" x14ac:dyDescent="0.25">
      <c r="A20" s="459" t="s">
        <v>154</v>
      </c>
      <c r="B20" s="459"/>
      <c r="C20" s="459"/>
      <c r="D20" s="459"/>
      <c r="E20" s="459"/>
      <c r="F20" s="459"/>
      <c r="G20" s="459"/>
      <c r="H20" s="459"/>
      <c r="I20" s="126"/>
    </row>
    <row r="21" spans="1:11" ht="15" customHeight="1" x14ac:dyDescent="0.25">
      <c r="A21" s="470" t="s">
        <v>140</v>
      </c>
      <c r="B21" s="466" t="s">
        <v>141</v>
      </c>
      <c r="C21" s="466" t="s">
        <v>142</v>
      </c>
      <c r="D21" s="472" t="s">
        <v>143</v>
      </c>
      <c r="E21" s="466" t="s">
        <v>144</v>
      </c>
      <c r="F21" s="466" t="s">
        <v>145</v>
      </c>
      <c r="G21" s="466" t="s">
        <v>146</v>
      </c>
      <c r="H21" s="467" t="s">
        <v>147</v>
      </c>
      <c r="I21" s="463" t="s">
        <v>148</v>
      </c>
    </row>
    <row r="22" spans="1:11" s="10" customFormat="1" ht="15" customHeight="1" thickBot="1" x14ac:dyDescent="0.3">
      <c r="A22" s="470"/>
      <c r="B22" s="467"/>
      <c r="C22" s="467"/>
      <c r="D22" s="472"/>
      <c r="E22" s="467"/>
      <c r="F22" s="467"/>
      <c r="G22" s="467"/>
      <c r="H22" s="467"/>
      <c r="I22" s="464"/>
    </row>
    <row r="23" spans="1:11" s="10" customFormat="1" ht="16.350000000000001" customHeight="1" x14ac:dyDescent="0.25">
      <c r="A23" s="470"/>
      <c r="B23" s="468"/>
      <c r="C23" s="468"/>
      <c r="D23" s="472"/>
      <c r="E23" s="468"/>
      <c r="F23" s="468"/>
      <c r="G23" s="468"/>
      <c r="H23" s="468"/>
      <c r="I23" s="464"/>
      <c r="J23" s="474" t="s">
        <v>149</v>
      </c>
      <c r="K23" s="450"/>
    </row>
    <row r="24" spans="1:11" s="10" customFormat="1" ht="37.950000000000003" customHeight="1" thickBot="1" x14ac:dyDescent="0.3">
      <c r="A24" s="471"/>
      <c r="B24" s="469"/>
      <c r="C24" s="469"/>
      <c r="D24" s="473"/>
      <c r="E24" s="469"/>
      <c r="F24" s="469"/>
      <c r="G24" s="469"/>
      <c r="H24" s="469"/>
      <c r="I24" s="465"/>
      <c r="J24" s="475" t="s">
        <v>150</v>
      </c>
      <c r="K24" s="452"/>
    </row>
    <row r="25" spans="1:11" s="10" customFormat="1" ht="16.350000000000001" customHeight="1" x14ac:dyDescent="0.25">
      <c r="A25" s="32" t="s">
        <v>108</v>
      </c>
      <c r="B25" s="37">
        <f>+'2-Revenue'!C7</f>
        <v>132260953</v>
      </c>
      <c r="C25" s="33">
        <f>ROUND($E$31/$B$31*B25,0)</f>
        <v>6094460</v>
      </c>
      <c r="D25" s="74">
        <f t="shared" ref="D25:D31" si="6">IF(C25=0,"%",C25/B25)</f>
        <v>4.6079057059266765E-2</v>
      </c>
      <c r="E25" s="33">
        <f>ROUND(11872160*E12/E18,0)</f>
        <v>11637566</v>
      </c>
      <c r="F25" s="33">
        <f>0</f>
        <v>0</v>
      </c>
      <c r="G25" s="33">
        <f>2330277+1573328</f>
        <v>3903605</v>
      </c>
      <c r="H25" s="82">
        <f>B25+F25+G25</f>
        <v>136164558</v>
      </c>
      <c r="I25" s="127">
        <f>IF(H25=0,"%",(F25+G25)/H25)</f>
        <v>2.8668289732193014E-2</v>
      </c>
      <c r="J25" s="75">
        <f>(C25+C27+C29)-(E25+E27+E29)</f>
        <v>-4956168</v>
      </c>
      <c r="K25" s="76" t="str">
        <f>IF(J25&gt;0,"WARNING: IS subsidizing OS","Compliant")</f>
        <v>Compliant</v>
      </c>
    </row>
    <row r="26" spans="1:11" s="10" customFormat="1" ht="16.350000000000001" customHeight="1" x14ac:dyDescent="0.25">
      <c r="A26" s="34" t="s">
        <v>109</v>
      </c>
      <c r="B26" s="38">
        <f>+'2-Revenue'!C8</f>
        <v>106075177</v>
      </c>
      <c r="C26" s="33">
        <f t="shared" ref="C26:C28" si="7">ROUND($E$31/$B$31*B26,0)</f>
        <v>4887844</v>
      </c>
      <c r="D26" s="74">
        <f t="shared" si="6"/>
        <v>4.6079055800208567E-2</v>
      </c>
      <c r="E26" s="33">
        <f>ROUND(11872160*E13/E18,0)</f>
        <v>234594</v>
      </c>
      <c r="F26" s="33">
        <f>2768477-G26</f>
        <v>2591458</v>
      </c>
      <c r="G26" s="33">
        <f>171499+5520</f>
        <v>177019</v>
      </c>
      <c r="H26" s="83">
        <f t="shared" ref="H26:H30" si="8">B26+F26+G26</f>
        <v>108843654</v>
      </c>
      <c r="I26" s="127">
        <f t="shared" ref="I26:I31" si="9">IF(H26=0,"%",(F26+G26)/H26)</f>
        <v>2.5435355193055169E-2</v>
      </c>
    </row>
    <row r="27" spans="1:11" s="10" customFormat="1" ht="15" customHeight="1" x14ac:dyDescent="0.25">
      <c r="A27" s="34" t="s">
        <v>110</v>
      </c>
      <c r="B27" s="38">
        <f>+'2-Revenue'!C9</f>
        <v>12737636</v>
      </c>
      <c r="C27" s="33">
        <f t="shared" si="7"/>
        <v>586938</v>
      </c>
      <c r="D27" s="74">
        <f t="shared" si="6"/>
        <v>4.6079036957878211E-2</v>
      </c>
      <c r="E27" s="33">
        <f>0</f>
        <v>0</v>
      </c>
      <c r="F27" s="33">
        <f>0</f>
        <v>0</v>
      </c>
      <c r="G27" s="33">
        <f>497063+15514</f>
        <v>512577</v>
      </c>
      <c r="H27" s="83">
        <f t="shared" si="8"/>
        <v>13250213</v>
      </c>
      <c r="I27" s="127">
        <f t="shared" si="9"/>
        <v>3.868443473323787E-2</v>
      </c>
    </row>
    <row r="28" spans="1:11" s="10" customFormat="1" ht="15" customHeight="1" x14ac:dyDescent="0.25">
      <c r="A28" s="34" t="s">
        <v>111</v>
      </c>
      <c r="B28" s="38">
        <f>+'2-Revenue'!C10</f>
        <v>6573872</v>
      </c>
      <c r="C28" s="33">
        <f t="shared" si="7"/>
        <v>302918</v>
      </c>
      <c r="D28" s="74">
        <f t="shared" si="6"/>
        <v>4.607908398581536E-2</v>
      </c>
      <c r="E28" s="33">
        <f>0</f>
        <v>0</v>
      </c>
      <c r="F28" s="33">
        <f>0</f>
        <v>0</v>
      </c>
      <c r="G28" s="33">
        <f>57143+1193</f>
        <v>58336</v>
      </c>
      <c r="H28" s="83">
        <f t="shared" si="8"/>
        <v>6632208</v>
      </c>
      <c r="I28" s="127">
        <f t="shared" si="9"/>
        <v>8.7958640621645153E-3</v>
      </c>
    </row>
    <row r="29" spans="1:11" s="10" customFormat="1" ht="15" customHeight="1" x14ac:dyDescent="0.25">
      <c r="A29" s="34" t="s">
        <v>151</v>
      </c>
      <c r="B29" s="38">
        <f>+SUM('2-Revenue'!C11+'2-Revenue'!C13+'2-Revenue'!C15+'2-Revenue'!C17+'2-Revenue'!C19)</f>
        <v>0</v>
      </c>
      <c r="C29" s="33">
        <f>0</f>
        <v>0</v>
      </c>
      <c r="D29" s="74" t="str">
        <f t="shared" si="6"/>
        <v>%</v>
      </c>
      <c r="E29" s="33">
        <f>0</f>
        <v>0</v>
      </c>
      <c r="F29" s="33">
        <f>0</f>
        <v>0</v>
      </c>
      <c r="G29" s="33">
        <f>0</f>
        <v>0</v>
      </c>
      <c r="H29" s="83">
        <f t="shared" si="8"/>
        <v>0</v>
      </c>
      <c r="I29" s="127" t="str">
        <f t="shared" si="9"/>
        <v>%</v>
      </c>
    </row>
    <row r="30" spans="1:11" s="10" customFormat="1" ht="15" customHeight="1" thickBot="1" x14ac:dyDescent="0.3">
      <c r="A30" s="35" t="s">
        <v>152</v>
      </c>
      <c r="B30" s="38">
        <f>+SUM('2-Revenue'!C12+'2-Revenue'!C14+'2-Revenue'!C16+'2-Revenue'!C18+'2-Revenue'!C20)</f>
        <v>0</v>
      </c>
      <c r="C30" s="33">
        <f>0</f>
        <v>0</v>
      </c>
      <c r="D30" s="77" t="str">
        <f t="shared" si="6"/>
        <v>%</v>
      </c>
      <c r="E30" s="33">
        <f>0</f>
        <v>0</v>
      </c>
      <c r="F30" s="33">
        <f>0</f>
        <v>0</v>
      </c>
      <c r="G30" s="33">
        <f>0</f>
        <v>0</v>
      </c>
      <c r="H30" s="84">
        <f t="shared" si="8"/>
        <v>0</v>
      </c>
      <c r="I30" s="127" t="str">
        <f t="shared" si="9"/>
        <v>%</v>
      </c>
    </row>
    <row r="31" spans="1:11" s="10" customFormat="1" ht="15" customHeight="1" thickBot="1" x14ac:dyDescent="0.3">
      <c r="A31" s="36" t="s">
        <v>153</v>
      </c>
      <c r="B31" s="41">
        <f>SUM(B25:B30)</f>
        <v>257647638</v>
      </c>
      <c r="C31" s="41">
        <f t="shared" ref="C31:H31" si="10">SUM(C25:C30)</f>
        <v>11872160</v>
      </c>
      <c r="D31" s="78">
        <f t="shared" si="6"/>
        <v>4.6079056234158061E-2</v>
      </c>
      <c r="E31" s="41">
        <f t="shared" si="10"/>
        <v>11872160</v>
      </c>
      <c r="F31" s="39">
        <f t="shared" si="10"/>
        <v>2591458</v>
      </c>
      <c r="G31" s="39">
        <f t="shared" si="10"/>
        <v>4651537</v>
      </c>
      <c r="H31" s="81">
        <f t="shared" si="10"/>
        <v>264890633</v>
      </c>
      <c r="I31" s="128">
        <f t="shared" si="9"/>
        <v>2.7343341355524641E-2</v>
      </c>
    </row>
    <row r="32" spans="1:11" s="10" customFormat="1" ht="15" customHeight="1" x14ac:dyDescent="0.25">
      <c r="A32" s="476"/>
      <c r="B32" s="476"/>
      <c r="C32" s="476"/>
      <c r="D32" s="476"/>
      <c r="E32" s="476"/>
      <c r="I32" s="129"/>
    </row>
    <row r="33" spans="1:11" s="10" customFormat="1" ht="15" customHeight="1" x14ac:dyDescent="0.25">
      <c r="A33" s="459" t="s">
        <v>155</v>
      </c>
      <c r="B33" s="459"/>
      <c r="C33" s="459"/>
      <c r="D33" s="459"/>
      <c r="E33" s="459"/>
      <c r="F33" s="459"/>
      <c r="G33" s="459"/>
      <c r="H33" s="459"/>
      <c r="I33" s="126"/>
    </row>
    <row r="34" spans="1:11" ht="15" customHeight="1" x14ac:dyDescent="0.25">
      <c r="A34" s="470" t="s">
        <v>140</v>
      </c>
      <c r="B34" s="466" t="s">
        <v>141</v>
      </c>
      <c r="C34" s="466" t="s">
        <v>142</v>
      </c>
      <c r="D34" s="472" t="s">
        <v>143</v>
      </c>
      <c r="E34" s="466" t="s">
        <v>144</v>
      </c>
      <c r="F34" s="466" t="s">
        <v>145</v>
      </c>
      <c r="G34" s="466" t="s">
        <v>146</v>
      </c>
      <c r="H34" s="467" t="s">
        <v>147</v>
      </c>
      <c r="I34" s="463" t="s">
        <v>148</v>
      </c>
    </row>
    <row r="35" spans="1:11" ht="12.6" customHeight="1" thickBot="1" x14ac:dyDescent="0.3">
      <c r="A35" s="470"/>
      <c r="B35" s="467"/>
      <c r="C35" s="467"/>
      <c r="D35" s="472"/>
      <c r="E35" s="467"/>
      <c r="F35" s="467"/>
      <c r="G35" s="467"/>
      <c r="H35" s="467"/>
      <c r="I35" s="464"/>
      <c r="J35" s="10"/>
    </row>
    <row r="36" spans="1:11" s="10" customFormat="1" ht="15" customHeight="1" x14ac:dyDescent="0.25">
      <c r="A36" s="470"/>
      <c r="B36" s="468"/>
      <c r="C36" s="468"/>
      <c r="D36" s="472"/>
      <c r="E36" s="468"/>
      <c r="F36" s="468"/>
      <c r="G36" s="468"/>
      <c r="H36" s="468"/>
      <c r="I36" s="464"/>
      <c r="J36" s="474" t="s">
        <v>149</v>
      </c>
      <c r="K36" s="450"/>
    </row>
    <row r="37" spans="1:11" s="10" customFormat="1" ht="22.2" customHeight="1" thickBot="1" x14ac:dyDescent="0.3">
      <c r="A37" s="471"/>
      <c r="B37" s="469"/>
      <c r="C37" s="469"/>
      <c r="D37" s="473"/>
      <c r="E37" s="469"/>
      <c r="F37" s="469"/>
      <c r="G37" s="469"/>
      <c r="H37" s="469"/>
      <c r="I37" s="465"/>
      <c r="J37" s="475" t="s">
        <v>150</v>
      </c>
      <c r="K37" s="452"/>
    </row>
    <row r="38" spans="1:11" s="10" customFormat="1" ht="16.350000000000001" customHeight="1" x14ac:dyDescent="0.25">
      <c r="A38" s="32" t="s">
        <v>108</v>
      </c>
      <c r="B38" s="37">
        <f>+'2-Revenue'!E7</f>
        <v>136744837</v>
      </c>
      <c r="C38" s="33">
        <f>ROUND($E$44/$B$44*B38,0)</f>
        <v>6573367</v>
      </c>
      <c r="D38" s="74">
        <f t="shared" ref="D38:D44" si="11">IF(C38=0,"%",C38/B38)</f>
        <v>4.8070312153723212E-2</v>
      </c>
      <c r="E38" s="33">
        <f>ROUND((11872160+850125)*E25/E31,0)</f>
        <v>12470893</v>
      </c>
      <c r="F38" s="33">
        <f>0</f>
        <v>0</v>
      </c>
      <c r="G38" s="33">
        <f>3132552+2103173</f>
        <v>5235725</v>
      </c>
      <c r="H38" s="82">
        <f>B38+F38+G38</f>
        <v>141980562</v>
      </c>
      <c r="I38" s="127">
        <f>IF(H38=0,"%",(F38+G38)/H38)</f>
        <v>3.6876350721868532E-2</v>
      </c>
      <c r="J38" s="75">
        <f>(C38+C40+C42)-(E38+E40+E42)</f>
        <v>-5280210</v>
      </c>
      <c r="K38" s="76" t="str">
        <f>IF(J38&gt;0,"WARNING: IS subsidizing OS","Compliant")</f>
        <v>Compliant</v>
      </c>
    </row>
    <row r="39" spans="1:11" s="10" customFormat="1" ht="16.350000000000001" customHeight="1" x14ac:dyDescent="0.25">
      <c r="A39" s="34" t="s">
        <v>109</v>
      </c>
      <c r="B39" s="40">
        <f>+'2-Revenue'!E8</f>
        <v>108528142</v>
      </c>
      <c r="C39" s="33">
        <f t="shared" ref="C39:C40" si="12">ROUND($E$44/$B$44*B39,0)</f>
        <v>5216981</v>
      </c>
      <c r="D39" s="74">
        <f t="shared" si="11"/>
        <v>4.8070306040989809E-2</v>
      </c>
      <c r="E39" s="33">
        <f>ROUND((11872160+850125)*E26/E31,0)</f>
        <v>251392</v>
      </c>
      <c r="F39" s="33">
        <f>2822573-174850</f>
        <v>2647723</v>
      </c>
      <c r="G39" s="33">
        <f>174850+5684</f>
        <v>180534</v>
      </c>
      <c r="H39" s="83">
        <f t="shared" ref="H39:H43" si="13">B39+F39+G39</f>
        <v>111356399</v>
      </c>
      <c r="I39" s="127">
        <f t="shared" ref="I39:I44" si="14">IF(H39=0,"%",(F39+G39)/H39)</f>
        <v>2.5398244064986333E-2</v>
      </c>
    </row>
    <row r="40" spans="1:11" s="10" customFormat="1" ht="16.350000000000001" customHeight="1" x14ac:dyDescent="0.25">
      <c r="A40" s="34" t="s">
        <v>110</v>
      </c>
      <c r="B40" s="40">
        <f>+'2-Revenue'!E9</f>
        <v>12841934</v>
      </c>
      <c r="C40" s="33">
        <f t="shared" si="12"/>
        <v>617316</v>
      </c>
      <c r="D40" s="74">
        <f t="shared" si="11"/>
        <v>4.8070329593657778E-2</v>
      </c>
      <c r="E40" s="33">
        <f>0</f>
        <v>0</v>
      </c>
      <c r="F40" s="33">
        <f>0</f>
        <v>0</v>
      </c>
      <c r="G40" s="33">
        <f>521212+16123</f>
        <v>537335</v>
      </c>
      <c r="H40" s="83">
        <f t="shared" si="13"/>
        <v>13379269</v>
      </c>
      <c r="I40" s="127">
        <f t="shared" si="14"/>
        <v>4.01617607060595E-2</v>
      </c>
    </row>
    <row r="41" spans="1:11" s="10" customFormat="1" ht="15" customHeight="1" x14ac:dyDescent="0.25">
      <c r="A41" s="34" t="s">
        <v>111</v>
      </c>
      <c r="B41" s="40">
        <f>+'2-Revenue'!E10</f>
        <v>6545021</v>
      </c>
      <c r="C41" s="33">
        <f>ROUND($E$44/$B$44*B41,0)</f>
        <v>314621</v>
      </c>
      <c r="D41" s="74">
        <f t="shared" si="11"/>
        <v>4.8070281210709637E-2</v>
      </c>
      <c r="E41" s="33">
        <f>0</f>
        <v>0</v>
      </c>
      <c r="F41" s="33">
        <f>0</f>
        <v>0</v>
      </c>
      <c r="G41" s="33">
        <f>58266+1240</f>
        <v>59506</v>
      </c>
      <c r="H41" s="83">
        <f t="shared" si="13"/>
        <v>6604527</v>
      </c>
      <c r="I41" s="127">
        <f t="shared" si="14"/>
        <v>9.0098806470168113E-3</v>
      </c>
    </row>
    <row r="42" spans="1:11" s="10" customFormat="1" ht="15" customHeight="1" x14ac:dyDescent="0.25">
      <c r="A42" s="34" t="s">
        <v>151</v>
      </c>
      <c r="B42" s="38">
        <f>+SUM('2-Revenue'!E11+'2-Revenue'!E13+'2-Revenue'!E15+'2-Revenue'!E17+'2-Revenue'!E19)</f>
        <v>0</v>
      </c>
      <c r="C42" s="33">
        <f>0</f>
        <v>0</v>
      </c>
      <c r="D42" s="74" t="str">
        <f t="shared" si="11"/>
        <v>%</v>
      </c>
      <c r="E42" s="33">
        <f>0</f>
        <v>0</v>
      </c>
      <c r="F42" s="33">
        <f>0</f>
        <v>0</v>
      </c>
      <c r="G42" s="33">
        <f>0</f>
        <v>0</v>
      </c>
      <c r="H42" s="83">
        <f t="shared" si="13"/>
        <v>0</v>
      </c>
      <c r="I42" s="127" t="str">
        <f t="shared" si="14"/>
        <v>%</v>
      </c>
    </row>
    <row r="43" spans="1:11" s="10" customFormat="1" ht="15" customHeight="1" thickBot="1" x14ac:dyDescent="0.3">
      <c r="A43" s="35" t="s">
        <v>152</v>
      </c>
      <c r="B43" s="38">
        <f>+SUM('2-Revenue'!E12+'2-Revenue'!E14+'2-Revenue'!E16+'2-Revenue'!E18+'2-Revenue'!E20)</f>
        <v>0</v>
      </c>
      <c r="C43" s="33">
        <f>0</f>
        <v>0</v>
      </c>
      <c r="D43" s="74" t="str">
        <f t="shared" si="11"/>
        <v>%</v>
      </c>
      <c r="E43" s="33">
        <f>0</f>
        <v>0</v>
      </c>
      <c r="F43" s="33">
        <f>0</f>
        <v>0</v>
      </c>
      <c r="G43" s="33">
        <f>0</f>
        <v>0</v>
      </c>
      <c r="H43" s="84">
        <f t="shared" si="13"/>
        <v>0</v>
      </c>
      <c r="I43" s="127" t="str">
        <f t="shared" si="14"/>
        <v>%</v>
      </c>
    </row>
    <row r="44" spans="1:11" s="10" customFormat="1" ht="15" customHeight="1" thickBot="1" x14ac:dyDescent="0.3">
      <c r="A44" s="36" t="s">
        <v>153</v>
      </c>
      <c r="B44" s="41">
        <f>SUM(B38:B43)</f>
        <v>264659934</v>
      </c>
      <c r="C44" s="41">
        <f t="shared" ref="C44:H44" si="15">SUM(C38:C43)</f>
        <v>12722285</v>
      </c>
      <c r="D44" s="78">
        <f t="shared" si="11"/>
        <v>4.8070309728105651E-2</v>
      </c>
      <c r="E44" s="41">
        <f t="shared" si="15"/>
        <v>12722285</v>
      </c>
      <c r="F44" s="39">
        <f t="shared" si="15"/>
        <v>2647723</v>
      </c>
      <c r="G44" s="39">
        <f t="shared" si="15"/>
        <v>6013100</v>
      </c>
      <c r="H44" s="81">
        <f t="shared" si="15"/>
        <v>273320757</v>
      </c>
      <c r="I44" s="128">
        <f t="shared" si="14"/>
        <v>3.1687395772872093E-2</v>
      </c>
    </row>
    <row r="45" spans="1:11" s="10" customFormat="1" ht="15" customHeight="1" x14ac:dyDescent="0.25">
      <c r="A45" s="477"/>
      <c r="B45" s="477"/>
      <c r="C45" s="477"/>
      <c r="D45" s="477"/>
      <c r="E45" s="477"/>
      <c r="I45" s="129"/>
      <c r="J45" s="79"/>
    </row>
    <row r="46" spans="1:11" s="10" customFormat="1" ht="15" customHeight="1" x14ac:dyDescent="0.25">
      <c r="A46" s="459" t="s">
        <v>156</v>
      </c>
      <c r="B46" s="459"/>
      <c r="C46" s="459"/>
      <c r="D46" s="459"/>
      <c r="E46" s="459"/>
      <c r="F46" s="459"/>
      <c r="G46" s="459"/>
      <c r="H46" s="459"/>
      <c r="I46" s="126"/>
    </row>
    <row r="47" spans="1:11" ht="15" customHeight="1" x14ac:dyDescent="0.25">
      <c r="A47" s="470" t="s">
        <v>140</v>
      </c>
      <c r="B47" s="466" t="s">
        <v>141</v>
      </c>
      <c r="C47" s="466" t="s">
        <v>142</v>
      </c>
      <c r="D47" s="472" t="s">
        <v>143</v>
      </c>
      <c r="E47" s="466" t="s">
        <v>144</v>
      </c>
      <c r="F47" s="466" t="s">
        <v>145</v>
      </c>
      <c r="G47" s="466" t="s">
        <v>146</v>
      </c>
      <c r="H47" s="467" t="s">
        <v>147</v>
      </c>
      <c r="I47" s="463" t="s">
        <v>148</v>
      </c>
    </row>
    <row r="48" spans="1:11" ht="15" customHeight="1" thickBot="1" x14ac:dyDescent="0.3">
      <c r="A48" s="470"/>
      <c r="B48" s="467"/>
      <c r="C48" s="467"/>
      <c r="D48" s="472"/>
      <c r="E48" s="467"/>
      <c r="F48" s="467"/>
      <c r="G48" s="467"/>
      <c r="H48" s="467"/>
      <c r="I48" s="464"/>
      <c r="J48" s="10"/>
    </row>
    <row r="49" spans="1:11" ht="15" customHeight="1" x14ac:dyDescent="0.25">
      <c r="A49" s="470"/>
      <c r="B49" s="468"/>
      <c r="C49" s="468"/>
      <c r="D49" s="472"/>
      <c r="E49" s="468"/>
      <c r="F49" s="468"/>
      <c r="G49" s="468"/>
      <c r="H49" s="468"/>
      <c r="I49" s="464"/>
      <c r="J49" s="474" t="s">
        <v>149</v>
      </c>
      <c r="K49" s="450"/>
    </row>
    <row r="50" spans="1:11" ht="19.2" customHeight="1" thickBot="1" x14ac:dyDescent="0.3">
      <c r="A50" s="471"/>
      <c r="B50" s="469"/>
      <c r="C50" s="469"/>
      <c r="D50" s="473"/>
      <c r="E50" s="469"/>
      <c r="F50" s="469"/>
      <c r="G50" s="469"/>
      <c r="H50" s="469"/>
      <c r="I50" s="465"/>
      <c r="J50" s="475" t="s">
        <v>150</v>
      </c>
      <c r="K50" s="452"/>
    </row>
    <row r="51" spans="1:11" ht="15" x14ac:dyDescent="0.25">
      <c r="A51" s="32" t="s">
        <v>108</v>
      </c>
      <c r="B51" s="37">
        <f>+'2-Revenue'!G7</f>
        <v>140524374</v>
      </c>
      <c r="C51" s="33">
        <f>ROUND($E$57/$B$57*B51,0)</f>
        <v>6999339</v>
      </c>
      <c r="D51" s="74">
        <f t="shared" ref="D51:D57" si="16">IF(C51=0,"%",C51/B51)</f>
        <v>4.9808718592832868E-2</v>
      </c>
      <c r="E51" s="33">
        <f>ROUND((12722285+880515)*E38/E44,0)</f>
        <v>13334009</v>
      </c>
      <c r="F51" s="33">
        <f>0</f>
        <v>0</v>
      </c>
      <c r="G51" s="33">
        <f>4007882+2663525</f>
        <v>6671407</v>
      </c>
      <c r="H51" s="82">
        <f>B51+F51+G51</f>
        <v>147195781</v>
      </c>
      <c r="I51" s="127">
        <f>IF(H51=0,"%",(F51+G51)/H51)</f>
        <v>4.5323357467698069E-2</v>
      </c>
      <c r="J51" s="75">
        <f>(C51+C53+C55)-(E51+E53+E55)</f>
        <v>-5677435</v>
      </c>
      <c r="K51" s="76" t="str">
        <f>IF(J51&gt;0,"WARNING: IS subsidizing OS","Compliant")</f>
        <v>Compliant</v>
      </c>
    </row>
    <row r="52" spans="1:11" ht="15" x14ac:dyDescent="0.25">
      <c r="A52" s="34" t="s">
        <v>109</v>
      </c>
      <c r="B52" s="40">
        <f>+'2-Revenue'!G8</f>
        <v>112695464</v>
      </c>
      <c r="C52" s="33">
        <f t="shared" ref="C52:C54" si="17">ROUND($E$57/$B$57*B52,0)</f>
        <v>5613216</v>
      </c>
      <c r="D52" s="74">
        <f t="shared" si="16"/>
        <v>4.9808712797881557E-2</v>
      </c>
      <c r="E52" s="33">
        <f>ROUND((12722285+880515)*E39/E44,0)</f>
        <v>268791</v>
      </c>
      <c r="F52" s="33">
        <f>2877771-178269</f>
        <v>2699502</v>
      </c>
      <c r="G52" s="33">
        <f>178269+5854</f>
        <v>184123</v>
      </c>
      <c r="H52" s="83">
        <f t="shared" ref="H52:H56" si="18">B52+F52+G52</f>
        <v>115579089</v>
      </c>
      <c r="I52" s="127">
        <f t="shared" ref="I52:I57" si="19">IF(H52=0,"%",(F52+G52)/H52)</f>
        <v>2.4949366057038225E-2</v>
      </c>
    </row>
    <row r="53" spans="1:11" ht="15" x14ac:dyDescent="0.25">
      <c r="A53" s="34" t="s">
        <v>110</v>
      </c>
      <c r="B53" s="40">
        <f>+'2-Revenue'!G9</f>
        <v>13195182</v>
      </c>
      <c r="C53" s="33">
        <f t="shared" si="17"/>
        <v>657235</v>
      </c>
      <c r="D53" s="74">
        <f t="shared" si="16"/>
        <v>4.9808710482356362E-2</v>
      </c>
      <c r="E53" s="33">
        <f>0</f>
        <v>0</v>
      </c>
      <c r="F53" s="33">
        <f>0</f>
        <v>0</v>
      </c>
      <c r="G53" s="33">
        <f>546367+16427</f>
        <v>562794</v>
      </c>
      <c r="H53" s="83">
        <f t="shared" si="18"/>
        <v>13757976</v>
      </c>
      <c r="I53" s="127">
        <f t="shared" si="19"/>
        <v>4.090674384080914E-2</v>
      </c>
    </row>
    <row r="54" spans="1:11" ht="15" x14ac:dyDescent="0.25">
      <c r="A54" s="34" t="s">
        <v>111</v>
      </c>
      <c r="B54" s="40">
        <f>+'2-Revenue'!G10</f>
        <v>6685774</v>
      </c>
      <c r="C54" s="33">
        <f t="shared" si="17"/>
        <v>333010</v>
      </c>
      <c r="D54" s="74">
        <f t="shared" si="16"/>
        <v>4.9808743161225612E-2</v>
      </c>
      <c r="E54" s="33">
        <f>0</f>
        <v>0</v>
      </c>
      <c r="F54" s="33">
        <f>0</f>
        <v>0</v>
      </c>
      <c r="G54" s="33">
        <f>59436+1264</f>
        <v>60700</v>
      </c>
      <c r="H54" s="83">
        <f t="shared" si="18"/>
        <v>6746474</v>
      </c>
      <c r="I54" s="127">
        <f t="shared" si="19"/>
        <v>8.997292511614215E-3</v>
      </c>
    </row>
    <row r="55" spans="1:11" ht="15" x14ac:dyDescent="0.25">
      <c r="A55" s="34" t="s">
        <v>151</v>
      </c>
      <c r="B55" s="38">
        <f>+SUM('2-Revenue'!G11+'2-Revenue'!G13+'2-Revenue'!G15+'2-Revenue'!G17+'2-Revenue'!G19)</f>
        <v>0</v>
      </c>
      <c r="C55" s="33">
        <f>0</f>
        <v>0</v>
      </c>
      <c r="D55" s="74" t="str">
        <f t="shared" si="16"/>
        <v>%</v>
      </c>
      <c r="E55" s="33">
        <f>0</f>
        <v>0</v>
      </c>
      <c r="F55" s="33">
        <f>0</f>
        <v>0</v>
      </c>
      <c r="G55" s="33">
        <f>0</f>
        <v>0</v>
      </c>
      <c r="H55" s="83">
        <f t="shared" si="18"/>
        <v>0</v>
      </c>
      <c r="I55" s="127" t="str">
        <f t="shared" si="19"/>
        <v>%</v>
      </c>
    </row>
    <row r="56" spans="1:11" ht="15.6" thickBot="1" x14ac:dyDescent="0.3">
      <c r="A56" s="35" t="s">
        <v>152</v>
      </c>
      <c r="B56" s="38">
        <f>+SUM('2-Revenue'!G12+'2-Revenue'!G14+'2-Revenue'!G16+'2-Revenue'!G18+'2-Revenue'!G20)</f>
        <v>0</v>
      </c>
      <c r="C56" s="33">
        <f>0</f>
        <v>0</v>
      </c>
      <c r="D56" s="74" t="str">
        <f t="shared" si="16"/>
        <v>%</v>
      </c>
      <c r="E56" s="33">
        <f>0</f>
        <v>0</v>
      </c>
      <c r="F56" s="33">
        <f>0</f>
        <v>0</v>
      </c>
      <c r="G56" s="33">
        <f>0</f>
        <v>0</v>
      </c>
      <c r="H56" s="84">
        <f t="shared" si="18"/>
        <v>0</v>
      </c>
      <c r="I56" s="127" t="str">
        <f t="shared" si="19"/>
        <v>%</v>
      </c>
    </row>
    <row r="57" spans="1:11" ht="19.95" customHeight="1" thickBot="1" x14ac:dyDescent="0.3">
      <c r="A57" s="36" t="s">
        <v>153</v>
      </c>
      <c r="B57" s="41">
        <f>SUM(B51:B56)</f>
        <v>273100794</v>
      </c>
      <c r="C57" s="41">
        <f t="shared" ref="C57:H57" si="20">SUM(C51:C56)</f>
        <v>13602800</v>
      </c>
      <c r="D57" s="78">
        <f t="shared" si="16"/>
        <v>4.9808716411128412E-2</v>
      </c>
      <c r="E57" s="41">
        <f t="shared" si="20"/>
        <v>13602800</v>
      </c>
      <c r="F57" s="39">
        <f t="shared" si="20"/>
        <v>2699502</v>
      </c>
      <c r="G57" s="39">
        <f t="shared" si="20"/>
        <v>7479024</v>
      </c>
      <c r="H57" s="81">
        <f t="shared" si="20"/>
        <v>283279320</v>
      </c>
      <c r="I57" s="128">
        <f t="shared" si="19"/>
        <v>3.5931059139791777E-2</v>
      </c>
      <c r="J57" s="79"/>
    </row>
    <row r="58" spans="1:11" ht="15" x14ac:dyDescent="0.25">
      <c r="A58" s="143"/>
      <c r="B58" s="144"/>
      <c r="C58" s="144"/>
      <c r="D58" s="145"/>
      <c r="E58" s="144"/>
      <c r="F58" s="146"/>
      <c r="G58" s="146"/>
      <c r="H58" s="146"/>
      <c r="I58" s="147"/>
      <c r="J58" s="79"/>
    </row>
    <row r="59" spans="1:11" ht="15.6" x14ac:dyDescent="0.25">
      <c r="A59" s="459" t="s">
        <v>157</v>
      </c>
      <c r="B59" s="459"/>
      <c r="C59" s="459"/>
      <c r="D59" s="459"/>
      <c r="E59" s="459"/>
      <c r="F59" s="459"/>
      <c r="G59" s="459"/>
      <c r="H59" s="459"/>
      <c r="I59" s="126"/>
      <c r="J59" s="10"/>
      <c r="K59" s="10"/>
    </row>
    <row r="60" spans="1:11" ht="12.75" customHeight="1" x14ac:dyDescent="0.25">
      <c r="A60" s="470" t="s">
        <v>140</v>
      </c>
      <c r="B60" s="466" t="s">
        <v>141</v>
      </c>
      <c r="C60" s="466" t="s">
        <v>142</v>
      </c>
      <c r="D60" s="472" t="s">
        <v>143</v>
      </c>
      <c r="E60" s="466" t="s">
        <v>144</v>
      </c>
      <c r="F60" s="466" t="s">
        <v>145</v>
      </c>
      <c r="G60" s="466" t="s">
        <v>146</v>
      </c>
      <c r="H60" s="467" t="s">
        <v>147</v>
      </c>
      <c r="I60" s="463" t="s">
        <v>148</v>
      </c>
    </row>
    <row r="61" spans="1:11" ht="13.5" customHeight="1" thickBot="1" x14ac:dyDescent="0.3">
      <c r="A61" s="470"/>
      <c r="B61" s="467"/>
      <c r="C61" s="467"/>
      <c r="D61" s="472"/>
      <c r="E61" s="467"/>
      <c r="F61" s="467"/>
      <c r="G61" s="467"/>
      <c r="H61" s="467"/>
      <c r="I61" s="464"/>
      <c r="J61" s="10"/>
    </row>
    <row r="62" spans="1:11" ht="12.75" customHeight="1" x14ac:dyDescent="0.25">
      <c r="A62" s="470"/>
      <c r="B62" s="468"/>
      <c r="C62" s="468"/>
      <c r="D62" s="472"/>
      <c r="E62" s="468"/>
      <c r="F62" s="468"/>
      <c r="G62" s="468"/>
      <c r="H62" s="468"/>
      <c r="I62" s="464"/>
      <c r="J62" s="474" t="s">
        <v>149</v>
      </c>
      <c r="K62" s="450"/>
    </row>
    <row r="63" spans="1:11" ht="19.5" customHeight="1" thickBot="1" x14ac:dyDescent="0.3">
      <c r="A63" s="471"/>
      <c r="B63" s="469"/>
      <c r="C63" s="469"/>
      <c r="D63" s="473"/>
      <c r="E63" s="469"/>
      <c r="F63" s="469"/>
      <c r="G63" s="469"/>
      <c r="H63" s="469"/>
      <c r="I63" s="465"/>
      <c r="J63" s="475" t="s">
        <v>150</v>
      </c>
      <c r="K63" s="452"/>
    </row>
    <row r="64" spans="1:11" ht="15" x14ac:dyDescent="0.25">
      <c r="A64" s="32" t="s">
        <v>108</v>
      </c>
      <c r="B64" s="37">
        <f>+'2-Revenue'!I7</f>
        <v>139178620</v>
      </c>
      <c r="C64" s="33">
        <f>ROUND($E$70/$B$70*B64,0)</f>
        <v>6970870</v>
      </c>
      <c r="D64" s="74">
        <f t="shared" ref="D64:D70" si="21">IF(C64=0,"%",C64/B64)</f>
        <v>5.0085781853563431E-2</v>
      </c>
      <c r="E64" s="33">
        <f>ROUND((12722285+880515)*E51/E57,0)</f>
        <v>13334009</v>
      </c>
      <c r="F64" s="33">
        <f>0</f>
        <v>0</v>
      </c>
      <c r="G64" s="33">
        <f>4585289+3061590</f>
        <v>7646879</v>
      </c>
      <c r="H64" s="82">
        <f>B64+F64+G64</f>
        <v>146825499</v>
      </c>
      <c r="I64" s="127">
        <f>IF(H64=0,"%",(F64+G64)/H64)</f>
        <v>5.208140991913128E-2</v>
      </c>
      <c r="J64" s="75">
        <f>(C64+C66+C68)-(E64+E66+E68)</f>
        <v>-5705854</v>
      </c>
      <c r="K64" s="76" t="str">
        <f>IF(J64&gt;0,"WARNING: IS subsidizing OS","Compliant")</f>
        <v>Compliant</v>
      </c>
    </row>
    <row r="65" spans="1:11" ht="15" x14ac:dyDescent="0.25">
      <c r="A65" s="34" t="s">
        <v>109</v>
      </c>
      <c r="B65" s="37">
        <f>+'2-Revenue'!I8</f>
        <v>112609911</v>
      </c>
      <c r="C65" s="33">
        <f t="shared" ref="C65:C67" si="22">ROUND($E$70/$B$70*B65,0)</f>
        <v>5640155</v>
      </c>
      <c r="D65" s="74">
        <f t="shared" si="21"/>
        <v>5.0085777973841041E-2</v>
      </c>
      <c r="E65" s="33">
        <f>ROUND((12722285+880515)*E52/E57,0)</f>
        <v>268791</v>
      </c>
      <c r="F65" s="33">
        <f>2877771-178269</f>
        <v>2699502</v>
      </c>
      <c r="G65" s="33">
        <f>178269+5854</f>
        <v>184123</v>
      </c>
      <c r="H65" s="83">
        <f t="shared" ref="H65:H69" si="23">B65+F65+G65</f>
        <v>115493536</v>
      </c>
      <c r="I65" s="127">
        <f t="shared" ref="I65:I70" si="24">IF(H65=0,"%",(F65+G65)/H65)</f>
        <v>2.4967847551225723E-2</v>
      </c>
    </row>
    <row r="66" spans="1:11" ht="15" x14ac:dyDescent="0.25">
      <c r="A66" s="34" t="s">
        <v>110</v>
      </c>
      <c r="B66" s="37">
        <f>+'2-Revenue'!I9</f>
        <v>13123180</v>
      </c>
      <c r="C66" s="33">
        <f t="shared" si="22"/>
        <v>657285</v>
      </c>
      <c r="D66" s="74">
        <f t="shared" si="21"/>
        <v>5.0085802374119685E-2</v>
      </c>
      <c r="E66" s="33">
        <f>0</f>
        <v>0</v>
      </c>
      <c r="F66" s="33">
        <f>0</f>
        <v>0</v>
      </c>
      <c r="G66" s="33">
        <f>546367+16427</f>
        <v>562794</v>
      </c>
      <c r="H66" s="83">
        <f t="shared" si="23"/>
        <v>13685974</v>
      </c>
      <c r="I66" s="127">
        <f t="shared" si="24"/>
        <v>4.11219544915108E-2</v>
      </c>
    </row>
    <row r="67" spans="1:11" ht="15" x14ac:dyDescent="0.25">
      <c r="A67" s="34" t="s">
        <v>111</v>
      </c>
      <c r="B67" s="37">
        <f>+'2-Revenue'!I10</f>
        <v>6678345</v>
      </c>
      <c r="C67" s="33">
        <f t="shared" si="22"/>
        <v>334490</v>
      </c>
      <c r="D67" s="74">
        <f t="shared" si="21"/>
        <v>5.0085762265950622E-2</v>
      </c>
      <c r="E67" s="33">
        <f>0</f>
        <v>0</v>
      </c>
      <c r="F67" s="33">
        <f>0</f>
        <v>0</v>
      </c>
      <c r="G67" s="33">
        <f>59436+1264</f>
        <v>60700</v>
      </c>
      <c r="H67" s="83">
        <f t="shared" si="23"/>
        <v>6739045</v>
      </c>
      <c r="I67" s="127">
        <f t="shared" si="24"/>
        <v>9.0072109623841358E-3</v>
      </c>
    </row>
    <row r="68" spans="1:11" ht="15" x14ac:dyDescent="0.25">
      <c r="A68" s="34" t="s">
        <v>151</v>
      </c>
      <c r="B68" s="38">
        <f>+SUM('2-Revenue'!I11+'2-Revenue'!I13+'2-Revenue'!I15+'2-Revenue'!I17+'2-Revenue'!I19)</f>
        <v>0</v>
      </c>
      <c r="C68" s="33">
        <f>0</f>
        <v>0</v>
      </c>
      <c r="D68" s="74" t="str">
        <f t="shared" si="21"/>
        <v>%</v>
      </c>
      <c r="E68" s="33">
        <f>0</f>
        <v>0</v>
      </c>
      <c r="F68" s="33">
        <f>0</f>
        <v>0</v>
      </c>
      <c r="G68" s="33">
        <f>0</f>
        <v>0</v>
      </c>
      <c r="H68" s="83">
        <f t="shared" si="23"/>
        <v>0</v>
      </c>
      <c r="I68" s="127" t="str">
        <f t="shared" si="24"/>
        <v>%</v>
      </c>
    </row>
    <row r="69" spans="1:11" ht="15.6" thickBot="1" x14ac:dyDescent="0.3">
      <c r="A69" s="35" t="s">
        <v>152</v>
      </c>
      <c r="B69" s="38">
        <f>+SUM('2-Revenue'!I12+'2-Revenue'!I14+'2-Revenue'!I16+'2-Revenue'!I18+'2-Revenue'!I20)</f>
        <v>0</v>
      </c>
      <c r="C69" s="33">
        <f>0</f>
        <v>0</v>
      </c>
      <c r="D69" s="74" t="str">
        <f t="shared" si="21"/>
        <v>%</v>
      </c>
      <c r="E69" s="33">
        <f>0</f>
        <v>0</v>
      </c>
      <c r="F69" s="33">
        <f>0</f>
        <v>0</v>
      </c>
      <c r="G69" s="33">
        <f>0</f>
        <v>0</v>
      </c>
      <c r="H69" s="84">
        <f t="shared" si="23"/>
        <v>0</v>
      </c>
      <c r="I69" s="127" t="str">
        <f t="shared" si="24"/>
        <v>%</v>
      </c>
    </row>
    <row r="70" spans="1:11" ht="21.45" customHeight="1" thickBot="1" x14ac:dyDescent="0.3">
      <c r="A70" s="36" t="s">
        <v>153</v>
      </c>
      <c r="B70" s="41">
        <f>SUM(B64:B69)</f>
        <v>271590056</v>
      </c>
      <c r="C70" s="41">
        <f t="shared" ref="C70" si="25">SUM(C64:C69)</f>
        <v>13602800</v>
      </c>
      <c r="D70" s="78">
        <f t="shared" si="21"/>
        <v>5.0085780754800538E-2</v>
      </c>
      <c r="E70" s="41">
        <f t="shared" ref="E70:H70" si="26">SUM(E64:E69)</f>
        <v>13602800</v>
      </c>
      <c r="F70" s="39">
        <f t="shared" si="26"/>
        <v>2699502</v>
      </c>
      <c r="G70" s="39">
        <f t="shared" si="26"/>
        <v>8454496</v>
      </c>
      <c r="H70" s="81">
        <f t="shared" si="26"/>
        <v>282744054</v>
      </c>
      <c r="I70" s="128">
        <f t="shared" si="24"/>
        <v>3.9449098370783066E-2</v>
      </c>
      <c r="J70" s="79"/>
    </row>
    <row r="71" spans="1:11" ht="15" x14ac:dyDescent="0.25">
      <c r="A71" s="143"/>
      <c r="B71" s="144"/>
      <c r="C71" s="144"/>
      <c r="D71" s="145"/>
      <c r="E71" s="144"/>
      <c r="F71" s="146"/>
      <c r="G71" s="146"/>
      <c r="H71" s="146"/>
      <c r="I71" s="147"/>
      <c r="J71" s="79"/>
    </row>
    <row r="72" spans="1:11" ht="12.75" customHeight="1" x14ac:dyDescent="0.25">
      <c r="A72" s="459" t="s">
        <v>158</v>
      </c>
      <c r="B72" s="459"/>
      <c r="C72" s="459"/>
      <c r="D72" s="459"/>
      <c r="E72" s="459"/>
      <c r="F72" s="459"/>
      <c r="G72" s="459"/>
      <c r="H72" s="459"/>
      <c r="I72" s="126"/>
      <c r="J72" s="10"/>
      <c r="K72" s="10"/>
    </row>
    <row r="73" spans="1:11" ht="13.5" customHeight="1" x14ac:dyDescent="0.25">
      <c r="A73" s="470" t="s">
        <v>140</v>
      </c>
      <c r="B73" s="466" t="s">
        <v>141</v>
      </c>
      <c r="C73" s="466" t="s">
        <v>142</v>
      </c>
      <c r="D73" s="472" t="s">
        <v>143</v>
      </c>
      <c r="E73" s="466" t="s">
        <v>144</v>
      </c>
      <c r="F73" s="466" t="s">
        <v>145</v>
      </c>
      <c r="G73" s="466" t="s">
        <v>146</v>
      </c>
      <c r="H73" s="467" t="s">
        <v>147</v>
      </c>
      <c r="I73" s="463" t="s">
        <v>148</v>
      </c>
    </row>
    <row r="74" spans="1:11" ht="13.5" customHeight="1" thickBot="1" x14ac:dyDescent="0.3">
      <c r="A74" s="470"/>
      <c r="B74" s="467"/>
      <c r="C74" s="467"/>
      <c r="D74" s="472"/>
      <c r="E74" s="467"/>
      <c r="F74" s="467"/>
      <c r="G74" s="467"/>
      <c r="H74" s="467"/>
      <c r="I74" s="464"/>
      <c r="J74" s="10"/>
    </row>
    <row r="75" spans="1:11" ht="12.75" customHeight="1" x14ac:dyDescent="0.25">
      <c r="A75" s="470"/>
      <c r="B75" s="468"/>
      <c r="C75" s="468"/>
      <c r="D75" s="472"/>
      <c r="E75" s="468"/>
      <c r="F75" s="468"/>
      <c r="G75" s="468"/>
      <c r="H75" s="468"/>
      <c r="I75" s="464"/>
      <c r="J75" s="474" t="s">
        <v>149</v>
      </c>
      <c r="K75" s="450"/>
    </row>
    <row r="76" spans="1:11" ht="28.5" customHeight="1" thickBot="1" x14ac:dyDescent="0.3">
      <c r="A76" s="471"/>
      <c r="B76" s="469"/>
      <c r="C76" s="469"/>
      <c r="D76" s="473"/>
      <c r="E76" s="469"/>
      <c r="F76" s="469"/>
      <c r="G76" s="469"/>
      <c r="H76" s="469"/>
      <c r="I76" s="465"/>
      <c r="J76" s="475" t="s">
        <v>150</v>
      </c>
      <c r="K76" s="452"/>
    </row>
    <row r="77" spans="1:11" ht="15" x14ac:dyDescent="0.25">
      <c r="A77" s="32" t="s">
        <v>108</v>
      </c>
      <c r="B77" s="37">
        <f>+'2-Revenue'!K7</f>
        <v>138265561</v>
      </c>
      <c r="C77" s="33">
        <f>ROUND($E$83/$B$83*B77,0)</f>
        <v>6951216</v>
      </c>
      <c r="D77" s="74">
        <f t="shared" ref="D77:D83" si="27">IF(C77=0,"%",C77/B77)</f>
        <v>5.0274384667632455E-2</v>
      </c>
      <c r="E77" s="33">
        <f>ROUND((12722285+880515)*E64/E70,0)</f>
        <v>13334009</v>
      </c>
      <c r="F77" s="33">
        <f>0</f>
        <v>0</v>
      </c>
      <c r="G77" s="33">
        <f>5247608+3490067</f>
        <v>8737675</v>
      </c>
      <c r="H77" s="82">
        <f>B77+F77+G77</f>
        <v>147003236</v>
      </c>
      <c r="I77" s="127">
        <f>IF(H77=0,"%",(F77+G77)/H77)</f>
        <v>5.9438657527239744E-2</v>
      </c>
      <c r="J77" s="75">
        <f>(C77+C79+C81)-(E77+E79+E81)</f>
        <v>-5721596</v>
      </c>
      <c r="K77" s="76" t="str">
        <f>IF(J77&gt;0,"WARNING: IS subsidizing OS","Compliant")</f>
        <v>Compliant</v>
      </c>
    </row>
    <row r="78" spans="1:11" ht="15" x14ac:dyDescent="0.25">
      <c r="A78" s="34" t="s">
        <v>109</v>
      </c>
      <c r="B78" s="37">
        <f>+'2-Revenue'!K8</f>
        <v>112453238</v>
      </c>
      <c r="C78" s="33">
        <f t="shared" ref="C78:C80" si="28">ROUND($E$83/$B$83*B78,0)</f>
        <v>5653517</v>
      </c>
      <c r="D78" s="74">
        <f t="shared" si="27"/>
        <v>5.0274381605623489E-2</v>
      </c>
      <c r="E78" s="33">
        <f>ROUND((12722285+880515)*E65/E70,0)</f>
        <v>268791</v>
      </c>
      <c r="F78" s="33">
        <f>2877771-178269</f>
        <v>2699502</v>
      </c>
      <c r="G78" s="33">
        <f>178269+5854</f>
        <v>184123</v>
      </c>
      <c r="H78" s="83">
        <f t="shared" ref="H78:H82" si="29">B78+F78+G78</f>
        <v>115336863</v>
      </c>
      <c r="I78" s="127">
        <f t="shared" ref="I78:I83" si="30">IF(H78=0,"%",(F78+G78)/H78)</f>
        <v>2.5001763746600254E-2</v>
      </c>
    </row>
    <row r="79" spans="1:11" ht="15" x14ac:dyDescent="0.25">
      <c r="A79" s="34" t="s">
        <v>110</v>
      </c>
      <c r="B79" s="37">
        <f>+'2-Revenue'!K9</f>
        <v>13151768</v>
      </c>
      <c r="C79" s="33">
        <f t="shared" si="28"/>
        <v>661197</v>
      </c>
      <c r="D79" s="74">
        <f t="shared" si="27"/>
        <v>5.0274381360741763E-2</v>
      </c>
      <c r="E79" s="33">
        <f>0</f>
        <v>0</v>
      </c>
      <c r="F79" s="33">
        <f>0</f>
        <v>0</v>
      </c>
      <c r="G79" s="33">
        <f>546367+16427</f>
        <v>562794</v>
      </c>
      <c r="H79" s="83">
        <f t="shared" si="29"/>
        <v>13714562</v>
      </c>
      <c r="I79" s="127">
        <f t="shared" si="30"/>
        <v>4.1036235790833132E-2</v>
      </c>
    </row>
    <row r="80" spans="1:11" ht="15" x14ac:dyDescent="0.25">
      <c r="A80" s="34" t="s">
        <v>111</v>
      </c>
      <c r="B80" s="37">
        <f>+'2-Revenue'!K10</f>
        <v>6700632</v>
      </c>
      <c r="C80" s="33">
        <f t="shared" si="28"/>
        <v>336870</v>
      </c>
      <c r="D80" s="74">
        <f t="shared" si="27"/>
        <v>5.0274362179567537E-2</v>
      </c>
      <c r="E80" s="33">
        <f>0</f>
        <v>0</v>
      </c>
      <c r="F80" s="33">
        <f>0</f>
        <v>0</v>
      </c>
      <c r="G80" s="33">
        <f>59436+1264</f>
        <v>60700</v>
      </c>
      <c r="H80" s="83">
        <f t="shared" si="29"/>
        <v>6761332</v>
      </c>
      <c r="I80" s="127">
        <f t="shared" si="30"/>
        <v>8.9775209973419444E-3</v>
      </c>
    </row>
    <row r="81" spans="1:10" ht="15" x14ac:dyDescent="0.25">
      <c r="A81" s="34" t="s">
        <v>151</v>
      </c>
      <c r="B81" s="38">
        <f>+SUM('2-Revenue'!K11+'2-Revenue'!K13+'2-Revenue'!K15+'2-Revenue'!K17+'2-Revenue'!K19)</f>
        <v>0</v>
      </c>
      <c r="C81" s="33">
        <f>0</f>
        <v>0</v>
      </c>
      <c r="D81" s="74" t="str">
        <f t="shared" si="27"/>
        <v>%</v>
      </c>
      <c r="E81" s="33">
        <f>0</f>
        <v>0</v>
      </c>
      <c r="F81" s="33">
        <f>0</f>
        <v>0</v>
      </c>
      <c r="G81" s="33">
        <f>0</f>
        <v>0</v>
      </c>
      <c r="H81" s="83">
        <f t="shared" si="29"/>
        <v>0</v>
      </c>
      <c r="I81" s="127" t="str">
        <f t="shared" si="30"/>
        <v>%</v>
      </c>
    </row>
    <row r="82" spans="1:10" ht="15.6" thickBot="1" x14ac:dyDescent="0.3">
      <c r="A82" s="35" t="s">
        <v>152</v>
      </c>
      <c r="B82" s="38">
        <f>+SUM('2-Revenue'!K12+'2-Revenue'!K14+'2-Revenue'!K16+'2-Revenue'!K18+'2-Revenue'!K20)</f>
        <v>0</v>
      </c>
      <c r="C82" s="33">
        <f>0</f>
        <v>0</v>
      </c>
      <c r="D82" s="74" t="str">
        <f t="shared" si="27"/>
        <v>%</v>
      </c>
      <c r="E82" s="33">
        <f>0</f>
        <v>0</v>
      </c>
      <c r="F82" s="33">
        <f>0</f>
        <v>0</v>
      </c>
      <c r="G82" s="33">
        <f>0</f>
        <v>0</v>
      </c>
      <c r="H82" s="84">
        <f t="shared" si="29"/>
        <v>0</v>
      </c>
      <c r="I82" s="127" t="str">
        <f t="shared" si="30"/>
        <v>%</v>
      </c>
    </row>
    <row r="83" spans="1:10" ht="23.7" customHeight="1" thickBot="1" x14ac:dyDescent="0.3">
      <c r="A83" s="36" t="s">
        <v>153</v>
      </c>
      <c r="B83" s="41">
        <f>SUM(B77:B82)</f>
        <v>270571199</v>
      </c>
      <c r="C83" s="41">
        <f t="shared" ref="C83" si="31">SUM(C77:C82)</f>
        <v>13602800</v>
      </c>
      <c r="D83" s="78">
        <f t="shared" si="27"/>
        <v>5.0274382677366926E-2</v>
      </c>
      <c r="E83" s="41">
        <f t="shared" ref="E83:H83" si="32">SUM(E77:E82)</f>
        <v>13602800</v>
      </c>
      <c r="F83" s="39">
        <f t="shared" si="32"/>
        <v>2699502</v>
      </c>
      <c r="G83" s="39">
        <f t="shared" si="32"/>
        <v>9545292</v>
      </c>
      <c r="H83" s="81">
        <f t="shared" si="32"/>
        <v>282815993</v>
      </c>
      <c r="I83" s="128">
        <f t="shared" si="30"/>
        <v>4.3295974425321841E-2</v>
      </c>
      <c r="J83" s="79"/>
    </row>
    <row r="84" spans="1:10" ht="15" x14ac:dyDescent="0.25">
      <c r="A84" s="143"/>
      <c r="B84" s="144"/>
      <c r="C84" s="144"/>
      <c r="D84" s="145"/>
      <c r="E84" s="144"/>
      <c r="F84" s="146"/>
      <c r="G84" s="146"/>
      <c r="H84" s="146"/>
      <c r="I84" s="147"/>
      <c r="J84" s="79"/>
    </row>
    <row r="85" spans="1:10" ht="15.6" x14ac:dyDescent="0.25">
      <c r="A85" s="459" t="s">
        <v>159</v>
      </c>
      <c r="B85" s="459"/>
      <c r="C85" s="459"/>
      <c r="D85" s="459"/>
      <c r="E85" s="459"/>
      <c r="F85" s="459"/>
      <c r="G85" s="459"/>
      <c r="H85" s="459"/>
      <c r="I85" s="126"/>
      <c r="J85" s="79"/>
    </row>
    <row r="86" spans="1:10" ht="12.75" customHeight="1" x14ac:dyDescent="0.25">
      <c r="A86" s="470" t="s">
        <v>140</v>
      </c>
      <c r="B86" s="466" t="s">
        <v>141</v>
      </c>
      <c r="C86" s="466" t="s">
        <v>142</v>
      </c>
      <c r="D86" s="472" t="s">
        <v>143</v>
      </c>
      <c r="E86" s="466" t="s">
        <v>144</v>
      </c>
      <c r="F86" s="466" t="s">
        <v>145</v>
      </c>
      <c r="G86" s="466" t="s">
        <v>146</v>
      </c>
      <c r="H86" s="467" t="s">
        <v>147</v>
      </c>
      <c r="I86" s="463" t="s">
        <v>148</v>
      </c>
      <c r="J86" s="79"/>
    </row>
    <row r="87" spans="1:10" ht="12.75" customHeight="1" x14ac:dyDescent="0.25">
      <c r="A87" s="470"/>
      <c r="B87" s="467"/>
      <c r="C87" s="467"/>
      <c r="D87" s="472"/>
      <c r="E87" s="467"/>
      <c r="F87" s="467"/>
      <c r="G87" s="467"/>
      <c r="H87" s="467"/>
      <c r="I87" s="464"/>
      <c r="J87" s="79"/>
    </row>
    <row r="88" spans="1:10" ht="12.75" customHeight="1" x14ac:dyDescent="0.25">
      <c r="A88" s="470"/>
      <c r="B88" s="468"/>
      <c r="C88" s="468"/>
      <c r="D88" s="472"/>
      <c r="E88" s="468"/>
      <c r="F88" s="468"/>
      <c r="G88" s="468"/>
      <c r="H88" s="468"/>
      <c r="I88" s="464"/>
      <c r="J88" s="79"/>
    </row>
    <row r="89" spans="1:10" ht="33" customHeight="1" thickBot="1" x14ac:dyDescent="0.3">
      <c r="A89" s="471"/>
      <c r="B89" s="469"/>
      <c r="C89" s="469"/>
      <c r="D89" s="473"/>
      <c r="E89" s="469"/>
      <c r="F89" s="469"/>
      <c r="G89" s="469"/>
      <c r="H89" s="469"/>
      <c r="I89" s="465"/>
      <c r="J89" s="79"/>
    </row>
    <row r="90" spans="1:10" ht="15" x14ac:dyDescent="0.25">
      <c r="A90" s="32" t="s">
        <v>108</v>
      </c>
      <c r="B90" s="37">
        <f>+'2-Revenue'!M7</f>
        <v>137700040</v>
      </c>
      <c r="C90" s="33">
        <f>ROUND($E$96/$B$96*B90,0)</f>
        <v>6942006</v>
      </c>
      <c r="D90" s="74">
        <f t="shared" ref="D90:D96" si="33">IF(C90=0,"%",C90/B90)</f>
        <v>5.0413972283522936E-2</v>
      </c>
      <c r="E90" s="33">
        <f>ROUND((12722285+880515)*E77/E83,0)</f>
        <v>13334009</v>
      </c>
      <c r="F90" s="33">
        <f>0</f>
        <v>0</v>
      </c>
      <c r="G90" s="33">
        <f>5757084+3838493</f>
        <v>9595577</v>
      </c>
      <c r="H90" s="82">
        <f>B90+F90+G90</f>
        <v>147295617</v>
      </c>
      <c r="I90" s="127">
        <f>IF(H90=0,"%",(F90+G90)/H90)</f>
        <v>6.5145027363577288E-2</v>
      </c>
      <c r="J90" s="79"/>
    </row>
    <row r="91" spans="1:10" ht="15" x14ac:dyDescent="0.25">
      <c r="A91" s="34" t="s">
        <v>109</v>
      </c>
      <c r="B91" s="37">
        <f>+'2-Revenue'!M8</f>
        <v>112399920</v>
      </c>
      <c r="C91" s="33">
        <f t="shared" ref="C91:C93" si="34">ROUND($E$96/$B$96*B91,0)</f>
        <v>5666527</v>
      </c>
      <c r="D91" s="74">
        <f t="shared" si="33"/>
        <v>5.0413977162973071E-2</v>
      </c>
      <c r="E91" s="33">
        <f>ROUND((12722285+880515)*E78/E83,0)</f>
        <v>268791</v>
      </c>
      <c r="F91" s="33">
        <f>2877771-178269</f>
        <v>2699502</v>
      </c>
      <c r="G91" s="33">
        <f>178269+5854</f>
        <v>184123</v>
      </c>
      <c r="H91" s="83">
        <f t="shared" ref="H91:H95" si="35">B91+F91+G91</f>
        <v>115283545</v>
      </c>
      <c r="I91" s="127">
        <f t="shared" ref="I91:I96" si="36">IF(H91=0,"%",(F91+G91)/H91)</f>
        <v>2.5013326923629908E-2</v>
      </c>
      <c r="J91" s="79"/>
    </row>
    <row r="92" spans="1:10" ht="15" x14ac:dyDescent="0.25">
      <c r="A92" s="34" t="s">
        <v>110</v>
      </c>
      <c r="B92" s="37">
        <f>+'2-Revenue'!M9</f>
        <v>13066001</v>
      </c>
      <c r="C92" s="33">
        <f t="shared" si="34"/>
        <v>658709</v>
      </c>
      <c r="D92" s="74">
        <f t="shared" si="33"/>
        <v>5.0413971344407518E-2</v>
      </c>
      <c r="E92" s="33">
        <f>0</f>
        <v>0</v>
      </c>
      <c r="F92" s="33">
        <f>0</f>
        <v>0</v>
      </c>
      <c r="G92" s="33">
        <f>546367+16427</f>
        <v>562794</v>
      </c>
      <c r="H92" s="83">
        <f t="shared" si="35"/>
        <v>13628795</v>
      </c>
      <c r="I92" s="127">
        <f t="shared" si="36"/>
        <v>4.1294479812778756E-2</v>
      </c>
      <c r="J92" s="79"/>
    </row>
    <row r="93" spans="1:10" ht="15" x14ac:dyDescent="0.25">
      <c r="A93" s="34" t="s">
        <v>111</v>
      </c>
      <c r="B93" s="37">
        <f>+'2-Revenue'!M10</f>
        <v>6656057</v>
      </c>
      <c r="C93" s="33">
        <f t="shared" si="34"/>
        <v>335558</v>
      </c>
      <c r="D93" s="74">
        <f t="shared" si="33"/>
        <v>5.0413931250889228E-2</v>
      </c>
      <c r="E93" s="33">
        <f>0</f>
        <v>0</v>
      </c>
      <c r="F93" s="33">
        <f>0</f>
        <v>0</v>
      </c>
      <c r="G93" s="33">
        <f>59436+1264</f>
        <v>60700</v>
      </c>
      <c r="H93" s="83">
        <f t="shared" si="35"/>
        <v>6716757</v>
      </c>
      <c r="I93" s="127">
        <f t="shared" si="36"/>
        <v>9.037099302535434E-3</v>
      </c>
      <c r="J93" s="79"/>
    </row>
    <row r="94" spans="1:10" ht="15" x14ac:dyDescent="0.25">
      <c r="A94" s="34" t="s">
        <v>151</v>
      </c>
      <c r="B94" s="38">
        <f>+SUM('2-Revenue'!M11+'2-Revenue'!M13+'2-Revenue'!M15+'2-Revenue'!M17+'2-Revenue'!M19)</f>
        <v>0</v>
      </c>
      <c r="C94" s="33">
        <f>0</f>
        <v>0</v>
      </c>
      <c r="D94" s="74" t="str">
        <f t="shared" si="33"/>
        <v>%</v>
      </c>
      <c r="E94" s="33">
        <f>0</f>
        <v>0</v>
      </c>
      <c r="F94" s="33">
        <f>0</f>
        <v>0</v>
      </c>
      <c r="G94" s="33">
        <f>0</f>
        <v>0</v>
      </c>
      <c r="H94" s="83">
        <f t="shared" si="35"/>
        <v>0</v>
      </c>
      <c r="I94" s="127" t="str">
        <f t="shared" si="36"/>
        <v>%</v>
      </c>
      <c r="J94" s="79"/>
    </row>
    <row r="95" spans="1:10" ht="15.6" thickBot="1" x14ac:dyDescent="0.3">
      <c r="A95" s="35" t="s">
        <v>152</v>
      </c>
      <c r="B95" s="38">
        <f>+SUM('2-Revenue'!M12+'2-Revenue'!M14+'2-Revenue'!M16+'2-Revenue'!M18+'2-Revenue'!M20)</f>
        <v>0</v>
      </c>
      <c r="C95" s="33">
        <f>0</f>
        <v>0</v>
      </c>
      <c r="D95" s="74" t="str">
        <f t="shared" si="33"/>
        <v>%</v>
      </c>
      <c r="E95" s="33">
        <f>0</f>
        <v>0</v>
      </c>
      <c r="F95" s="33">
        <f>0</f>
        <v>0</v>
      </c>
      <c r="G95" s="33">
        <f>0</f>
        <v>0</v>
      </c>
      <c r="H95" s="84">
        <f t="shared" si="35"/>
        <v>0</v>
      </c>
      <c r="I95" s="127" t="str">
        <f t="shared" si="36"/>
        <v>%</v>
      </c>
      <c r="J95" s="79"/>
    </row>
    <row r="96" spans="1:10" ht="22.2" customHeight="1" thickBot="1" x14ac:dyDescent="0.3">
      <c r="A96" s="36" t="s">
        <v>153</v>
      </c>
      <c r="B96" s="41">
        <f>SUM(B90:B95)</f>
        <v>269822018</v>
      </c>
      <c r="C96" s="41">
        <f t="shared" ref="C96" si="37">SUM(C90:C95)</f>
        <v>13602800</v>
      </c>
      <c r="D96" s="78">
        <f t="shared" si="33"/>
        <v>5.0413973258475887E-2</v>
      </c>
      <c r="E96" s="41">
        <f t="shared" ref="E96:H96" si="38">SUM(E90:E95)</f>
        <v>13602800</v>
      </c>
      <c r="F96" s="39">
        <f t="shared" si="38"/>
        <v>2699502</v>
      </c>
      <c r="G96" s="39">
        <f t="shared" si="38"/>
        <v>10403194</v>
      </c>
      <c r="H96" s="81">
        <f t="shared" si="38"/>
        <v>282924714</v>
      </c>
      <c r="I96" s="128">
        <f t="shared" si="36"/>
        <v>4.6311599346531458E-2</v>
      </c>
      <c r="J96" s="79"/>
    </row>
    <row r="97" spans="1:10" ht="15" x14ac:dyDescent="0.25">
      <c r="A97" s="143"/>
      <c r="B97" s="144"/>
      <c r="C97" s="144"/>
      <c r="D97" s="145"/>
      <c r="E97" s="144"/>
      <c r="F97" s="146"/>
      <c r="G97" s="146"/>
      <c r="H97" s="146"/>
      <c r="I97" s="147"/>
      <c r="J97" s="79"/>
    </row>
    <row r="98" spans="1:10" ht="15.6" x14ac:dyDescent="0.25">
      <c r="A98" s="479" t="s">
        <v>160</v>
      </c>
      <c r="B98" s="480"/>
      <c r="C98" s="480"/>
      <c r="D98" s="480"/>
      <c r="E98" s="480"/>
      <c r="F98" s="480"/>
      <c r="G98" s="480"/>
      <c r="H98" s="458"/>
      <c r="I98" s="126"/>
      <c r="J98" s="79"/>
    </row>
    <row r="99" spans="1:10" ht="12.75" customHeight="1" x14ac:dyDescent="0.25">
      <c r="A99" s="468" t="s">
        <v>140</v>
      </c>
      <c r="B99" s="468" t="s">
        <v>141</v>
      </c>
      <c r="C99" s="468" t="s">
        <v>142</v>
      </c>
      <c r="D99" s="468" t="s">
        <v>143</v>
      </c>
      <c r="E99" s="468" t="s">
        <v>144</v>
      </c>
      <c r="F99" s="468" t="s">
        <v>145</v>
      </c>
      <c r="G99" s="468" t="s">
        <v>146</v>
      </c>
      <c r="H99" s="468" t="s">
        <v>147</v>
      </c>
      <c r="I99" s="463" t="s">
        <v>148</v>
      </c>
      <c r="J99" s="79"/>
    </row>
    <row r="100" spans="1:10" ht="12.75" customHeight="1" x14ac:dyDescent="0.25">
      <c r="A100" s="472"/>
      <c r="B100" s="472"/>
      <c r="C100" s="472"/>
      <c r="D100" s="472"/>
      <c r="E100" s="472"/>
      <c r="F100" s="472"/>
      <c r="G100" s="472"/>
      <c r="H100" s="472"/>
      <c r="I100" s="464"/>
      <c r="J100" s="79"/>
    </row>
    <row r="101" spans="1:10" ht="12.75" customHeight="1" x14ac:dyDescent="0.25">
      <c r="A101" s="472"/>
      <c r="B101" s="472"/>
      <c r="C101" s="472"/>
      <c r="D101" s="472"/>
      <c r="E101" s="472"/>
      <c r="F101" s="472"/>
      <c r="G101" s="472"/>
      <c r="H101" s="472"/>
      <c r="I101" s="464"/>
      <c r="J101" s="79"/>
    </row>
    <row r="102" spans="1:10" ht="28.5" customHeight="1" thickBot="1" x14ac:dyDescent="0.3">
      <c r="A102" s="473"/>
      <c r="B102" s="473"/>
      <c r="C102" s="473"/>
      <c r="D102" s="473"/>
      <c r="E102" s="473"/>
      <c r="F102" s="473"/>
      <c r="G102" s="473"/>
      <c r="H102" s="473"/>
      <c r="I102" s="465"/>
      <c r="J102" s="79"/>
    </row>
    <row r="103" spans="1:10" ht="15" x14ac:dyDescent="0.25">
      <c r="A103" s="32" t="s">
        <v>108</v>
      </c>
      <c r="B103" s="37">
        <f>+'2-Revenue'!O7</f>
        <v>137136698</v>
      </c>
      <c r="C103" s="33">
        <f>ROUND($E$109/$B$109*B103,0)</f>
        <v>6925421</v>
      </c>
      <c r="D103" s="74">
        <f t="shared" ref="D103:D109" si="39">IF(C103=0,"%",C103/B103)</f>
        <v>5.050012944018821E-2</v>
      </c>
      <c r="E103" s="33">
        <f>ROUND((12722285+880515)*E90/E96,0)</f>
        <v>13334009</v>
      </c>
      <c r="F103" s="33">
        <f>0</f>
        <v>0</v>
      </c>
      <c r="G103" s="33">
        <f>6317509+4255785</f>
        <v>10573294</v>
      </c>
      <c r="H103" s="82">
        <f>B103+F103+G103</f>
        <v>147709992</v>
      </c>
      <c r="I103" s="127">
        <f>IF(H103=0,"%",(F103+G103)/H103)</f>
        <v>7.1581440475604385E-2</v>
      </c>
      <c r="J103" s="79"/>
    </row>
    <row r="104" spans="1:10" ht="15" x14ac:dyDescent="0.25">
      <c r="A104" s="34" t="s">
        <v>109</v>
      </c>
      <c r="B104" s="37">
        <f>+'2-Revenue'!O8</f>
        <v>112385280</v>
      </c>
      <c r="C104" s="33">
        <f t="shared" ref="C104:C106" si="40">ROUND($E$109/$B$109*B104,0)</f>
        <v>5675471</v>
      </c>
      <c r="D104" s="74">
        <f t="shared" si="39"/>
        <v>5.0500127774740604E-2</v>
      </c>
      <c r="E104" s="33">
        <f>ROUND((12722285+880515)*E91/E96,0)</f>
        <v>268791</v>
      </c>
      <c r="F104" s="33">
        <v>2699502</v>
      </c>
      <c r="G104" s="33">
        <f>178269+5854</f>
        <v>184123</v>
      </c>
      <c r="H104" s="83">
        <f t="shared" ref="H104:H108" si="41">B104+F104+G104</f>
        <v>115268905</v>
      </c>
      <c r="I104" s="127">
        <f t="shared" ref="I104:I109" si="42">IF(H104=0,"%",(F104+G104)/H104)</f>
        <v>2.5016503800396127E-2</v>
      </c>
      <c r="J104" s="79"/>
    </row>
    <row r="105" spans="1:10" ht="15" x14ac:dyDescent="0.25">
      <c r="A105" s="34" t="s">
        <v>110</v>
      </c>
      <c r="B105" s="37">
        <f>+'2-Revenue'!O9</f>
        <v>13139062</v>
      </c>
      <c r="C105" s="33">
        <f t="shared" si="40"/>
        <v>663524</v>
      </c>
      <c r="D105" s="74">
        <f t="shared" si="39"/>
        <v>5.0500104193130377E-2</v>
      </c>
      <c r="E105" s="33">
        <f>0</f>
        <v>0</v>
      </c>
      <c r="F105" s="33">
        <f>0</f>
        <v>0</v>
      </c>
      <c r="G105" s="33">
        <f>546367+16427</f>
        <v>562794</v>
      </c>
      <c r="H105" s="83">
        <f t="shared" si="41"/>
        <v>13701856</v>
      </c>
      <c r="I105" s="127">
        <f t="shared" si="42"/>
        <v>4.1074289497714765E-2</v>
      </c>
      <c r="J105" s="79"/>
    </row>
    <row r="106" spans="1:10" ht="15" x14ac:dyDescent="0.25">
      <c r="A106" s="34" t="s">
        <v>111</v>
      </c>
      <c r="B106" s="37">
        <f>+'2-Revenue'!O10</f>
        <v>6700632</v>
      </c>
      <c r="C106" s="33">
        <f t="shared" si="40"/>
        <v>338383</v>
      </c>
      <c r="D106" s="74">
        <f t="shared" si="39"/>
        <v>5.050016177578473E-2</v>
      </c>
      <c r="E106" s="33">
        <f>0</f>
        <v>0</v>
      </c>
      <c r="F106" s="33">
        <f>0</f>
        <v>0</v>
      </c>
      <c r="G106" s="33">
        <f>59436+1264</f>
        <v>60700</v>
      </c>
      <c r="H106" s="83">
        <f t="shared" si="41"/>
        <v>6761332</v>
      </c>
      <c r="I106" s="127">
        <f t="shared" si="42"/>
        <v>8.9775209973419444E-3</v>
      </c>
      <c r="J106" s="79"/>
    </row>
    <row r="107" spans="1:10" ht="15" x14ac:dyDescent="0.25">
      <c r="A107" s="34" t="s">
        <v>151</v>
      </c>
      <c r="B107" s="38">
        <f>+SUM('2-Revenue'!O11+'2-Revenue'!O13+'2-Revenue'!O15+'2-Revenue'!O17+'2-Revenue'!O19)</f>
        <v>0</v>
      </c>
      <c r="C107" s="33">
        <f>0</f>
        <v>0</v>
      </c>
      <c r="D107" s="74" t="str">
        <f t="shared" si="39"/>
        <v>%</v>
      </c>
      <c r="E107" s="33">
        <f>0</f>
        <v>0</v>
      </c>
      <c r="F107" s="33">
        <f>0</f>
        <v>0</v>
      </c>
      <c r="G107" s="33">
        <f>0</f>
        <v>0</v>
      </c>
      <c r="H107" s="83">
        <f t="shared" si="41"/>
        <v>0</v>
      </c>
      <c r="I107" s="127" t="str">
        <f t="shared" si="42"/>
        <v>%</v>
      </c>
      <c r="J107" s="79"/>
    </row>
    <row r="108" spans="1:10" ht="15.6" thickBot="1" x14ac:dyDescent="0.3">
      <c r="A108" s="35" t="s">
        <v>152</v>
      </c>
      <c r="B108" s="38">
        <f>+SUM('2-Revenue'!O12+'2-Revenue'!O14+'2-Revenue'!O16+'2-Revenue'!O18+'2-Revenue'!O20)</f>
        <v>0</v>
      </c>
      <c r="C108" s="33">
        <f>0</f>
        <v>0</v>
      </c>
      <c r="D108" s="74" t="str">
        <f t="shared" si="39"/>
        <v>%</v>
      </c>
      <c r="E108" s="33">
        <f>0</f>
        <v>0</v>
      </c>
      <c r="F108" s="33">
        <f>0</f>
        <v>0</v>
      </c>
      <c r="G108" s="33">
        <f>0</f>
        <v>0</v>
      </c>
      <c r="H108" s="84">
        <f t="shared" si="41"/>
        <v>0</v>
      </c>
      <c r="I108" s="127" t="str">
        <f t="shared" si="42"/>
        <v>%</v>
      </c>
      <c r="J108" s="79"/>
    </row>
    <row r="109" spans="1:10" ht="29.7" customHeight="1" thickBot="1" x14ac:dyDescent="0.3">
      <c r="A109" s="36" t="s">
        <v>153</v>
      </c>
      <c r="B109" s="41">
        <f>SUM(B103:B108)</f>
        <v>269361672</v>
      </c>
      <c r="C109" s="41">
        <f t="shared" ref="C109" si="43">SUM(C103:C108)</f>
        <v>13602799</v>
      </c>
      <c r="D109" s="78">
        <f t="shared" si="39"/>
        <v>5.0500128318181806E-2</v>
      </c>
      <c r="E109" s="41">
        <f t="shared" ref="E109:H109" si="44">SUM(E103:E108)</f>
        <v>13602800</v>
      </c>
      <c r="F109" s="39">
        <f t="shared" si="44"/>
        <v>2699502</v>
      </c>
      <c r="G109" s="39">
        <f t="shared" si="44"/>
        <v>11380911</v>
      </c>
      <c r="H109" s="81">
        <f t="shared" si="44"/>
        <v>283442085</v>
      </c>
      <c r="I109" s="128">
        <f t="shared" si="42"/>
        <v>4.9676507989277599E-2</v>
      </c>
      <c r="J109" s="79"/>
    </row>
    <row r="111" spans="1:10" ht="72.75" customHeight="1" x14ac:dyDescent="0.25">
      <c r="A111" s="478" t="s">
        <v>161</v>
      </c>
      <c r="B111" s="478"/>
      <c r="C111" s="478"/>
      <c r="D111" s="478"/>
      <c r="E111" s="478"/>
      <c r="F111" s="478"/>
      <c r="G111" s="478"/>
      <c r="H111" s="478"/>
      <c r="I111" s="130"/>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2" right="0.2" top="0.25" bottom="0.25" header="0.3" footer="0.3"/>
  <pageSetup scale="69" fitToHeight="0" orientation="landscape" r:id="rId1"/>
  <rowBreaks count="2" manualBreakCount="2">
    <brk id="32"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6"/>
  <sheetViews>
    <sheetView view="pageBreakPreview" topLeftCell="A37" zoomScale="85" zoomScaleNormal="89" zoomScaleSheetLayoutView="85" workbookViewId="0">
      <selection activeCell="A40" sqref="A40:XFD40"/>
    </sheetView>
  </sheetViews>
  <sheetFormatPr defaultColWidth="9.33203125" defaultRowHeight="13.2" x14ac:dyDescent="0.25"/>
  <cols>
    <col min="1" max="1" width="4.6640625" style="90" customWidth="1"/>
    <col min="2" max="2" width="7.33203125" style="90" customWidth="1"/>
    <col min="3" max="3" width="51.44140625" style="268" customWidth="1"/>
    <col min="4" max="4" width="18.109375" style="90" customWidth="1"/>
    <col min="5" max="5" width="17.33203125" style="90" customWidth="1"/>
    <col min="6" max="6" width="15.5546875" style="90" customWidth="1"/>
    <col min="7" max="7" width="16.109375" style="90" customWidth="1"/>
    <col min="8" max="8" width="19" style="90" customWidth="1"/>
    <col min="9" max="9" width="17.6640625" style="90" customWidth="1"/>
    <col min="10" max="10" width="17.5546875" style="90" customWidth="1"/>
    <col min="11" max="11" width="17.88671875" style="90" customWidth="1"/>
    <col min="12" max="12" width="20.6640625" style="90" customWidth="1"/>
    <col min="13" max="13" width="18.33203125" style="90" customWidth="1"/>
    <col min="14" max="14" width="18.88671875" style="90" customWidth="1"/>
    <col min="15" max="15" width="18.33203125" style="90" customWidth="1"/>
    <col min="16" max="16" width="19.33203125" style="90" customWidth="1"/>
    <col min="17" max="17" width="34.33203125" style="90" customWidth="1"/>
    <col min="18" max="16384" width="9.33203125" style="90"/>
  </cols>
  <sheetData>
    <row r="1" spans="1:17" ht="20.100000000000001" customHeight="1" x14ac:dyDescent="0.25">
      <c r="A1" s="162" t="s">
        <v>162</v>
      </c>
      <c r="B1" s="162"/>
      <c r="C1" s="263"/>
      <c r="D1" s="162"/>
      <c r="E1" s="162"/>
      <c r="F1" s="162"/>
      <c r="G1" s="162"/>
      <c r="H1" s="162"/>
      <c r="I1" s="162"/>
      <c r="J1" s="162"/>
      <c r="K1" s="162"/>
      <c r="L1" s="162"/>
      <c r="M1" s="162"/>
      <c r="N1" s="162"/>
      <c r="O1" s="162"/>
    </row>
    <row r="2" spans="1:17" ht="20.100000000000001" customHeight="1" x14ac:dyDescent="0.25">
      <c r="A2" s="484" t="str">
        <f>'Institution ID'!C3</f>
        <v>James Madison University</v>
      </c>
      <c r="B2" s="484"/>
      <c r="C2" s="484"/>
      <c r="D2" s="484"/>
      <c r="E2" s="484"/>
      <c r="F2" s="484"/>
      <c r="G2" s="484"/>
      <c r="H2" s="484"/>
      <c r="I2" s="484"/>
      <c r="J2" s="484"/>
      <c r="K2" s="314"/>
      <c r="L2" s="314"/>
      <c r="M2" s="314"/>
      <c r="N2" s="314"/>
      <c r="O2" s="314"/>
    </row>
    <row r="3" spans="1:17" ht="339.75" customHeight="1" x14ac:dyDescent="0.25">
      <c r="A3" s="485" t="s">
        <v>163</v>
      </c>
      <c r="B3" s="485"/>
      <c r="C3" s="485"/>
      <c r="D3" s="485"/>
      <c r="E3" s="485"/>
      <c r="F3" s="485"/>
      <c r="G3" s="485"/>
      <c r="H3" s="485"/>
      <c r="I3" s="485"/>
      <c r="J3" s="485"/>
      <c r="K3" s="485"/>
      <c r="L3" s="485"/>
      <c r="M3" s="485"/>
      <c r="N3" s="485"/>
      <c r="O3" s="485"/>
      <c r="P3" s="485"/>
      <c r="Q3" s="485"/>
    </row>
    <row r="4" spans="1:17" ht="41.25" customHeight="1" x14ac:dyDescent="0.25">
      <c r="A4" s="315"/>
      <c r="B4" s="486" t="s">
        <v>164</v>
      </c>
      <c r="C4" s="486"/>
      <c r="D4" s="486"/>
      <c r="E4" s="315"/>
      <c r="F4" s="315"/>
      <c r="G4" s="315"/>
      <c r="H4" s="269" t="s">
        <v>165</v>
      </c>
      <c r="I4" s="315"/>
      <c r="J4" s="315"/>
      <c r="K4" s="315"/>
      <c r="L4" s="269" t="s">
        <v>166</v>
      </c>
      <c r="M4" s="315"/>
      <c r="N4" s="315"/>
      <c r="O4" s="315"/>
      <c r="P4" s="315"/>
      <c r="Q4" s="315"/>
    </row>
    <row r="5" spans="1:17" ht="20.100000000000001" customHeight="1" x14ac:dyDescent="0.25">
      <c r="A5" s="177"/>
      <c r="B5" s="168" t="s">
        <v>167</v>
      </c>
      <c r="C5" s="264"/>
      <c r="D5" s="170">
        <f>+'2-Revenue'!B26</f>
        <v>421803543</v>
      </c>
      <c r="E5" s="161"/>
      <c r="F5" s="161"/>
      <c r="G5" s="161"/>
      <c r="H5" s="270" t="s">
        <v>168</v>
      </c>
      <c r="I5" s="161"/>
      <c r="J5" s="161"/>
      <c r="K5" s="161"/>
      <c r="L5" s="270" t="s">
        <v>168</v>
      </c>
      <c r="M5" s="161"/>
      <c r="N5" s="161"/>
      <c r="O5" s="161"/>
      <c r="P5" s="161"/>
    </row>
    <row r="6" spans="1:17" ht="20.100000000000001" customHeight="1" x14ac:dyDescent="0.25">
      <c r="A6" s="177"/>
      <c r="B6" s="169" t="s">
        <v>169</v>
      </c>
      <c r="C6" s="265"/>
      <c r="D6" s="171">
        <f>+'2-Revenue'!C26</f>
        <v>439354091</v>
      </c>
      <c r="E6" s="161"/>
      <c r="F6" s="161"/>
      <c r="G6" s="161"/>
      <c r="H6" s="320">
        <f>IFERROR(SUM(H12:H18,H22)/SUM(E12:E18,E22),"%")</f>
        <v>0.51399967352269016</v>
      </c>
      <c r="I6" s="161"/>
      <c r="J6" s="161"/>
      <c r="K6" s="161"/>
      <c r="L6" s="320">
        <f>IFERROR(SUM(L12:L18,L22)/SUM(I12:I18,I22),"%")</f>
        <v>0.51399982317083759</v>
      </c>
      <c r="M6" s="161"/>
      <c r="N6" s="161"/>
      <c r="O6" s="161"/>
      <c r="P6" s="161"/>
    </row>
    <row r="7" spans="1:17" ht="20.100000000000001" customHeight="1" x14ac:dyDescent="0.25">
      <c r="A7" s="177"/>
      <c r="B7" s="163"/>
      <c r="C7" s="266"/>
      <c r="D7" s="164"/>
      <c r="E7" s="161"/>
      <c r="F7" s="161"/>
      <c r="G7" s="161"/>
      <c r="H7" s="271"/>
      <c r="I7" s="161"/>
      <c r="J7" s="161"/>
      <c r="K7" s="161"/>
      <c r="L7" s="271"/>
      <c r="M7" s="161"/>
      <c r="N7" s="161"/>
      <c r="O7" s="161"/>
      <c r="P7" s="161"/>
    </row>
    <row r="8" spans="1:17" ht="20.100000000000001" customHeight="1" x14ac:dyDescent="0.25">
      <c r="A8" s="177"/>
      <c r="B8" s="163"/>
      <c r="C8" s="266"/>
      <c r="D8" s="164"/>
      <c r="E8" s="489" t="s">
        <v>170</v>
      </c>
      <c r="F8" s="490"/>
      <c r="G8" s="490"/>
      <c r="H8" s="490"/>
      <c r="I8" s="490"/>
      <c r="J8" s="490"/>
      <c r="K8" s="490"/>
      <c r="L8" s="490"/>
      <c r="M8" s="490"/>
      <c r="N8" s="490"/>
      <c r="O8" s="490"/>
      <c r="P8" s="491"/>
    </row>
    <row r="9" spans="1:17" ht="16.5" customHeight="1" x14ac:dyDescent="0.25">
      <c r="A9" s="178"/>
      <c r="B9" s="483"/>
      <c r="C9" s="483"/>
      <c r="D9" s="179"/>
      <c r="E9" s="487" t="s">
        <v>171</v>
      </c>
      <c r="F9" s="487"/>
      <c r="G9" s="487"/>
      <c r="H9" s="487"/>
      <c r="I9" s="487" t="s">
        <v>172</v>
      </c>
      <c r="J9" s="487"/>
      <c r="K9" s="487"/>
      <c r="L9" s="487"/>
      <c r="M9" s="173" t="s">
        <v>173</v>
      </c>
      <c r="N9" s="173" t="s">
        <v>174</v>
      </c>
      <c r="O9" s="173" t="s">
        <v>175</v>
      </c>
      <c r="P9" s="173" t="s">
        <v>176</v>
      </c>
      <c r="Q9" s="488" t="s">
        <v>177</v>
      </c>
    </row>
    <row r="10" spans="1:17" ht="60.75" customHeight="1" x14ac:dyDescent="0.25">
      <c r="A10" s="178"/>
      <c r="B10" s="387"/>
      <c r="C10" s="388" t="s">
        <v>178</v>
      </c>
      <c r="D10" s="173"/>
      <c r="E10" s="173" t="s">
        <v>179</v>
      </c>
      <c r="F10" s="173" t="s">
        <v>180</v>
      </c>
      <c r="G10" s="173" t="s">
        <v>181</v>
      </c>
      <c r="H10" s="173" t="s">
        <v>182</v>
      </c>
      <c r="I10" s="173" t="s">
        <v>179</v>
      </c>
      <c r="J10" s="173" t="s">
        <v>180</v>
      </c>
      <c r="K10" s="173" t="s">
        <v>181</v>
      </c>
      <c r="L10" s="173" t="s">
        <v>182</v>
      </c>
      <c r="M10" s="173" t="s">
        <v>183</v>
      </c>
      <c r="N10" s="173" t="s">
        <v>183</v>
      </c>
      <c r="O10" s="173" t="s">
        <v>183</v>
      </c>
      <c r="P10" s="173" t="s">
        <v>183</v>
      </c>
      <c r="Q10" s="488"/>
    </row>
    <row r="11" spans="1:17" ht="15.6" x14ac:dyDescent="0.25">
      <c r="A11" s="178"/>
      <c r="B11" s="389" t="s">
        <v>184</v>
      </c>
      <c r="C11" s="390"/>
      <c r="D11" s="391"/>
      <c r="E11" s="391"/>
      <c r="F11" s="391"/>
      <c r="G11" s="391"/>
      <c r="H11" s="391"/>
      <c r="I11" s="391"/>
      <c r="J11" s="391"/>
      <c r="K11" s="391"/>
      <c r="L11" s="391"/>
      <c r="M11" s="391"/>
      <c r="N11" s="391"/>
      <c r="O11" s="391"/>
      <c r="P11" s="391"/>
      <c r="Q11" s="392"/>
    </row>
    <row r="12" spans="1:17" ht="43.2" customHeight="1" x14ac:dyDescent="0.25">
      <c r="A12" s="165"/>
      <c r="B12" s="393"/>
      <c r="C12" s="394" t="s">
        <v>185</v>
      </c>
      <c r="D12" s="395"/>
      <c r="E12" s="396">
        <f>SUM(F12:H12)</f>
        <v>2560335</v>
      </c>
      <c r="F12" s="396">
        <f>0</f>
        <v>0</v>
      </c>
      <c r="G12" s="396">
        <f>ROUND(2560335*0.486,0)</f>
        <v>1244323</v>
      </c>
      <c r="H12" s="396">
        <f>ROUND(2560335*0.514,0)</f>
        <v>1316012</v>
      </c>
      <c r="I12" s="396">
        <f>SUM(J12:L12)</f>
        <v>5170175</v>
      </c>
      <c r="J12" s="396">
        <f>0</f>
        <v>0</v>
      </c>
      <c r="K12" s="396">
        <f>ROUND(2609840*0.486,0)+G12</f>
        <v>2512705</v>
      </c>
      <c r="L12" s="396">
        <f>ROUND(2609840*0.514,0)+H12</f>
        <v>2657470</v>
      </c>
      <c r="M12" s="396">
        <f>2661616+I12</f>
        <v>7831791</v>
      </c>
      <c r="N12" s="396">
        <f>2714859+M12</f>
        <v>10546650</v>
      </c>
      <c r="O12" s="396">
        <f>2769120+N12</f>
        <v>13315770</v>
      </c>
      <c r="P12" s="396">
        <f>2824504+O12</f>
        <v>16140274</v>
      </c>
      <c r="Q12" s="397" t="s">
        <v>186</v>
      </c>
    </row>
    <row r="13" spans="1:17" ht="46.2" customHeight="1" x14ac:dyDescent="0.25">
      <c r="A13" s="165"/>
      <c r="B13" s="393"/>
      <c r="C13" s="394" t="s">
        <v>187</v>
      </c>
      <c r="D13" s="395"/>
      <c r="E13" s="396">
        <f>SUM(F13:H13)</f>
        <v>830162</v>
      </c>
      <c r="F13" s="396">
        <f>0</f>
        <v>0</v>
      </c>
      <c r="G13" s="396">
        <f>ROUND(830162*0.486,0)</f>
        <v>403459</v>
      </c>
      <c r="H13" s="396">
        <f>ROUND(830162*0.514,0)</f>
        <v>426703</v>
      </c>
      <c r="I13" s="396">
        <f>SUM(J13:L13)</f>
        <v>1676744</v>
      </c>
      <c r="J13" s="396">
        <f>0</f>
        <v>0</v>
      </c>
      <c r="K13" s="396">
        <f>ROUND(846582*0.486,0)+G13</f>
        <v>814898</v>
      </c>
      <c r="L13" s="396">
        <f>ROUND(846582*0.514,0)+H13</f>
        <v>861846</v>
      </c>
      <c r="M13" s="396">
        <f>863293+I13</f>
        <v>2540037</v>
      </c>
      <c r="N13" s="396">
        <f>880565+M13</f>
        <v>3420602</v>
      </c>
      <c r="O13" s="396">
        <f>898139+N13</f>
        <v>4318741</v>
      </c>
      <c r="P13" s="396">
        <f>916133+O13</f>
        <v>5234874</v>
      </c>
      <c r="Q13" s="397" t="s">
        <v>188</v>
      </c>
    </row>
    <row r="14" spans="1:17" ht="37.5" customHeight="1" x14ac:dyDescent="0.25">
      <c r="A14" s="165"/>
      <c r="B14" s="393"/>
      <c r="C14" s="398" t="s">
        <v>189</v>
      </c>
      <c r="D14" s="395"/>
      <c r="E14" s="396">
        <f>SUM(F14:H14)</f>
        <v>1171555</v>
      </c>
      <c r="F14" s="396">
        <f>0</f>
        <v>0</v>
      </c>
      <c r="G14" s="396">
        <f>ROUND(1171555*0.486,0)</f>
        <v>569376</v>
      </c>
      <c r="H14" s="396">
        <f>ROUND(1171555*0.514,0)</f>
        <v>602179</v>
      </c>
      <c r="I14" s="396">
        <f>SUM(J14:L14)</f>
        <v>2366503</v>
      </c>
      <c r="J14" s="396">
        <f>0</f>
        <v>0</v>
      </c>
      <c r="K14" s="396">
        <f>ROUND(1194948*0.486,0)+G14</f>
        <v>1150121</v>
      </c>
      <c r="L14" s="396">
        <f>ROUND(1194948*0.514,0)+H14</f>
        <v>1216382</v>
      </c>
      <c r="M14" s="396">
        <f>1218820+I14</f>
        <v>3585323</v>
      </c>
      <c r="N14" s="396">
        <f>1243167+M14</f>
        <v>4828490</v>
      </c>
      <c r="O14" s="396">
        <f>1268105+N14</f>
        <v>6096595</v>
      </c>
      <c r="P14" s="396">
        <f>1293426+O14</f>
        <v>7390021</v>
      </c>
      <c r="Q14" s="397" t="s">
        <v>190</v>
      </c>
    </row>
    <row r="15" spans="1:17" ht="37.5" customHeight="1" x14ac:dyDescent="0.25">
      <c r="A15" s="165"/>
      <c r="B15" s="393"/>
      <c r="C15" s="394" t="s">
        <v>191</v>
      </c>
      <c r="D15" s="395"/>
      <c r="E15" s="396">
        <f>SUM(F15:H15)</f>
        <v>0</v>
      </c>
      <c r="F15" s="396">
        <f>0</f>
        <v>0</v>
      </c>
      <c r="G15" s="396">
        <v>0</v>
      </c>
      <c r="H15" s="396">
        <v>0</v>
      </c>
      <c r="I15" s="396">
        <f>SUM(J15:L15)</f>
        <v>0</v>
      </c>
      <c r="J15" s="396">
        <f>0</f>
        <v>0</v>
      </c>
      <c r="K15" s="396">
        <v>0</v>
      </c>
      <c r="L15" s="396">
        <v>0</v>
      </c>
      <c r="M15" s="396">
        <f>0</f>
        <v>0</v>
      </c>
      <c r="N15" s="396">
        <f>0</f>
        <v>0</v>
      </c>
      <c r="O15" s="396">
        <f>0</f>
        <v>0</v>
      </c>
      <c r="P15" s="396">
        <f>0</f>
        <v>0</v>
      </c>
      <c r="Q15" s="399"/>
    </row>
    <row r="16" spans="1:17" ht="44.7" customHeight="1" x14ac:dyDescent="0.25">
      <c r="A16" s="165"/>
      <c r="B16" s="393"/>
      <c r="C16" s="394" t="s">
        <v>192</v>
      </c>
      <c r="D16" s="395"/>
      <c r="E16" s="396">
        <f t="shared" ref="E16:E17" si="0">SUM(F16:H16)</f>
        <v>71654</v>
      </c>
      <c r="F16" s="396">
        <f>0</f>
        <v>0</v>
      </c>
      <c r="G16" s="396">
        <f>ROUND(71654*0.486,0)</f>
        <v>34824</v>
      </c>
      <c r="H16" s="396">
        <f>ROUND(71654*0.514,0)</f>
        <v>36830</v>
      </c>
      <c r="I16" s="396">
        <f t="shared" ref="I16:I20" si="1">SUM(J16:L16)</f>
        <v>144741</v>
      </c>
      <c r="J16" s="396">
        <f>0</f>
        <v>0</v>
      </c>
      <c r="K16" s="396">
        <f>ROUND(73087*0.486,0)+G16</f>
        <v>70344</v>
      </c>
      <c r="L16" s="396">
        <f>ROUND(73087*0.514,0)+H16</f>
        <v>74397</v>
      </c>
      <c r="M16" s="396">
        <f>74548+I16</f>
        <v>219289</v>
      </c>
      <c r="N16" s="396">
        <f>76039+M16</f>
        <v>295328</v>
      </c>
      <c r="O16" s="396">
        <f>77560+N16</f>
        <v>372888</v>
      </c>
      <c r="P16" s="396">
        <f>77678+O16</f>
        <v>450566</v>
      </c>
      <c r="Q16" s="397" t="s">
        <v>193</v>
      </c>
    </row>
    <row r="17" spans="1:17" ht="37.5" customHeight="1" x14ac:dyDescent="0.25">
      <c r="A17" s="165"/>
      <c r="B17" s="393"/>
      <c r="C17" s="394" t="s">
        <v>194</v>
      </c>
      <c r="D17" s="395"/>
      <c r="E17" s="396">
        <f t="shared" si="0"/>
        <v>266781</v>
      </c>
      <c r="F17" s="396">
        <f>0</f>
        <v>0</v>
      </c>
      <c r="G17" s="396">
        <f>ROUND(266781*0.486,0)</f>
        <v>129656</v>
      </c>
      <c r="H17" s="396">
        <f>ROUND(266781*0.514,0)</f>
        <v>137125</v>
      </c>
      <c r="I17" s="396">
        <f t="shared" si="1"/>
        <v>539305</v>
      </c>
      <c r="J17" s="396">
        <f>0</f>
        <v>0</v>
      </c>
      <c r="K17" s="396">
        <f>ROUND(272524*0.486,0)+G17</f>
        <v>262103</v>
      </c>
      <c r="L17" s="396">
        <f>ROUND(272524*0.514,0)+H17</f>
        <v>277202</v>
      </c>
      <c r="M17" s="396">
        <f>278391+I17</f>
        <v>817696</v>
      </c>
      <c r="N17" s="396">
        <f>284385+M17</f>
        <v>1102081</v>
      </c>
      <c r="O17" s="396">
        <f>290508+N17</f>
        <v>1392589</v>
      </c>
      <c r="P17" s="396">
        <f>291019+O17</f>
        <v>1683608</v>
      </c>
      <c r="Q17" s="397" t="s">
        <v>195</v>
      </c>
    </row>
    <row r="18" spans="1:17" ht="40.200000000000003" customHeight="1" x14ac:dyDescent="0.25">
      <c r="A18" s="165"/>
      <c r="B18" s="393"/>
      <c r="C18" s="394" t="s">
        <v>196</v>
      </c>
      <c r="D18" s="395"/>
      <c r="E18" s="396">
        <f t="shared" ref="E18" si="2">SUM(F18:H18)</f>
        <v>1222705</v>
      </c>
      <c r="F18" s="396">
        <f>0</f>
        <v>0</v>
      </c>
      <c r="G18" s="396">
        <f>ROUND(1222705*0.486,0)</f>
        <v>594235</v>
      </c>
      <c r="H18" s="396">
        <f>ROUND(1222705*0.514,0)</f>
        <v>628470</v>
      </c>
      <c r="I18" s="396">
        <f t="shared" si="1"/>
        <v>2481600</v>
      </c>
      <c r="J18" s="396">
        <f>0</f>
        <v>0</v>
      </c>
      <c r="K18" s="396">
        <f>ROUND(1258895*0.486,0)+G18</f>
        <v>1206058</v>
      </c>
      <c r="L18" s="396">
        <f>ROUND(1258895*0.514,0)+H18</f>
        <v>1275542</v>
      </c>
      <c r="M18" s="396">
        <f>+I18+1297670</f>
        <v>3779270</v>
      </c>
      <c r="N18" s="396">
        <f>+M18+1336445</f>
        <v>5115715</v>
      </c>
      <c r="O18" s="396">
        <f>+N18+1377805</f>
        <v>6493520</v>
      </c>
      <c r="P18" s="396">
        <f>+O18+1419165</f>
        <v>7912685</v>
      </c>
      <c r="Q18" s="397" t="s">
        <v>197</v>
      </c>
    </row>
    <row r="19" spans="1:17" ht="53.7" customHeight="1" x14ac:dyDescent="0.25">
      <c r="A19" s="165"/>
      <c r="B19" s="393"/>
      <c r="C19" s="394" t="s">
        <v>198</v>
      </c>
      <c r="D19" s="395"/>
      <c r="E19" s="396">
        <f t="shared" ref="E19" si="3">SUM(F19:H19)</f>
        <v>126678</v>
      </c>
      <c r="F19" s="396">
        <f>0</f>
        <v>0</v>
      </c>
      <c r="G19" s="396">
        <v>126678</v>
      </c>
      <c r="H19" s="400"/>
      <c r="I19" s="396">
        <f t="shared" si="1"/>
        <v>513736</v>
      </c>
      <c r="J19" s="396">
        <f>0</f>
        <v>0</v>
      </c>
      <c r="K19" s="396">
        <f>ROUND((295960+91098),0)+G19</f>
        <v>513736</v>
      </c>
      <c r="L19" s="400"/>
      <c r="M19" s="396">
        <f>165247+107636+I19</f>
        <v>786619</v>
      </c>
      <c r="N19" s="396">
        <f>+M19</f>
        <v>786619</v>
      </c>
      <c r="O19" s="396">
        <f t="shared" ref="O19:P19" si="4">+N19</f>
        <v>786619</v>
      </c>
      <c r="P19" s="396">
        <f t="shared" si="4"/>
        <v>786619</v>
      </c>
      <c r="Q19" s="397" t="s">
        <v>199</v>
      </c>
    </row>
    <row r="20" spans="1:17" ht="105.45" customHeight="1" x14ac:dyDescent="0.25">
      <c r="A20" s="165"/>
      <c r="B20" s="393"/>
      <c r="C20" s="394" t="s">
        <v>200</v>
      </c>
      <c r="D20" s="395"/>
      <c r="E20" s="396">
        <f t="shared" ref="E20" si="5">SUM(F20:H20)</f>
        <v>1050000</v>
      </c>
      <c r="F20" s="396">
        <f>0</f>
        <v>0</v>
      </c>
      <c r="G20" s="396">
        <v>1050000</v>
      </c>
      <c r="H20" s="400"/>
      <c r="I20" s="396">
        <f t="shared" si="1"/>
        <v>2100000</v>
      </c>
      <c r="J20" s="396">
        <f>0</f>
        <v>0</v>
      </c>
      <c r="K20" s="396">
        <f>+G20+1050000</f>
        <v>2100000</v>
      </c>
      <c r="L20" s="400"/>
      <c r="M20" s="396">
        <f>700000+I20</f>
        <v>2800000</v>
      </c>
      <c r="N20" s="396">
        <f>+M20+700000</f>
        <v>3500000</v>
      </c>
      <c r="O20" s="396">
        <f t="shared" ref="O20:P20" si="6">+N20+700000</f>
        <v>4200000</v>
      </c>
      <c r="P20" s="396">
        <f t="shared" si="6"/>
        <v>4900000</v>
      </c>
      <c r="Q20" s="397" t="s">
        <v>201</v>
      </c>
    </row>
    <row r="21" spans="1:17" ht="20.100000000000001" customHeight="1" x14ac:dyDescent="0.25">
      <c r="A21" s="165"/>
      <c r="B21" s="389" t="s">
        <v>202</v>
      </c>
      <c r="C21" s="401"/>
      <c r="D21" s="402"/>
      <c r="E21" s="403"/>
      <c r="F21" s="403"/>
      <c r="G21" s="403"/>
      <c r="H21" s="403"/>
      <c r="I21" s="403"/>
      <c r="J21" s="403"/>
      <c r="K21" s="403"/>
      <c r="L21" s="403"/>
      <c r="M21" s="403"/>
      <c r="N21" s="403"/>
      <c r="O21" s="403"/>
      <c r="P21" s="403"/>
      <c r="Q21" s="392"/>
    </row>
    <row r="22" spans="1:17" ht="41.4" customHeight="1" x14ac:dyDescent="0.25">
      <c r="A22" s="165"/>
      <c r="B22" s="387"/>
      <c r="C22" s="394" t="s">
        <v>203</v>
      </c>
      <c r="D22" s="395"/>
      <c r="E22" s="396">
        <f t="shared" ref="E22:E24" si="7">SUM(F22:H22)</f>
        <v>2808</v>
      </c>
      <c r="F22" s="396">
        <f>0</f>
        <v>0</v>
      </c>
      <c r="G22" s="396">
        <f>ROUND(52390*0.0536*0.486,0)</f>
        <v>1365</v>
      </c>
      <c r="H22" s="396">
        <f>ROUND(52390*0.0536*0.514,0)</f>
        <v>1443</v>
      </c>
      <c r="I22" s="396">
        <f t="shared" ref="I22:I24" si="8">SUM(J22:L22)</f>
        <v>5767</v>
      </c>
      <c r="J22" s="396">
        <f>0</f>
        <v>0</v>
      </c>
      <c r="K22" s="396">
        <f>ROUND(2959*0.486,0)+G22</f>
        <v>2803</v>
      </c>
      <c r="L22" s="396">
        <f>ROUND(2959*0.514,0)+H22</f>
        <v>2964</v>
      </c>
      <c r="M22" s="396">
        <f>+I22+3117</f>
        <v>8884</v>
      </c>
      <c r="N22" s="396">
        <f>+M22+3284</f>
        <v>12168</v>
      </c>
      <c r="O22" s="396">
        <f>+N22+3460</f>
        <v>15628</v>
      </c>
      <c r="P22" s="396">
        <f>+O22+3646</f>
        <v>19274</v>
      </c>
      <c r="Q22" s="397" t="s">
        <v>204</v>
      </c>
    </row>
    <row r="23" spans="1:17" ht="37.5" customHeight="1" x14ac:dyDescent="0.25">
      <c r="A23" s="165"/>
      <c r="B23" s="387"/>
      <c r="C23" s="394" t="s">
        <v>205</v>
      </c>
      <c r="D23" s="395"/>
      <c r="E23" s="396">
        <f t="shared" si="7"/>
        <v>1136000</v>
      </c>
      <c r="F23" s="396">
        <v>1000000</v>
      </c>
      <c r="G23" s="396">
        <v>136000</v>
      </c>
      <c r="H23" s="400"/>
      <c r="I23" s="396">
        <f t="shared" si="8"/>
        <v>2272000</v>
      </c>
      <c r="J23" s="396">
        <f>+F23+1000000</f>
        <v>2000000</v>
      </c>
      <c r="K23" s="396">
        <f>+G23+136000</f>
        <v>272000</v>
      </c>
      <c r="L23" s="400"/>
      <c r="M23" s="396">
        <f>+I23+1136000</f>
        <v>3408000</v>
      </c>
      <c r="N23" s="396">
        <f>+M23+1136000</f>
        <v>4544000</v>
      </c>
      <c r="O23" s="396">
        <f>+N23+1136000</f>
        <v>5680000</v>
      </c>
      <c r="P23" s="396">
        <f>+O23+1136000</f>
        <v>6816000</v>
      </c>
      <c r="Q23" s="397" t="s">
        <v>206</v>
      </c>
    </row>
    <row r="24" spans="1:17" ht="37.5" customHeight="1" x14ac:dyDescent="0.25">
      <c r="A24" s="165"/>
      <c r="B24" s="387"/>
      <c r="C24" s="394" t="s">
        <v>207</v>
      </c>
      <c r="D24" s="395"/>
      <c r="E24" s="396">
        <f t="shared" si="7"/>
        <v>275082</v>
      </c>
      <c r="F24" s="396">
        <f>0</f>
        <v>0</v>
      </c>
      <c r="G24" s="396">
        <v>275082</v>
      </c>
      <c r="H24" s="400"/>
      <c r="I24" s="396">
        <f t="shared" si="8"/>
        <v>501202</v>
      </c>
      <c r="J24" s="396">
        <f>0</f>
        <v>0</v>
      </c>
      <c r="K24" s="396">
        <f>+G24+226120</f>
        <v>501202</v>
      </c>
      <c r="L24" s="400"/>
      <c r="M24" s="396">
        <f>+I24+246933</f>
        <v>748135</v>
      </c>
      <c r="N24" s="396">
        <f>+M24+442451</f>
        <v>1190586</v>
      </c>
      <c r="O24" s="396">
        <f>+N24+468059</f>
        <v>1658645</v>
      </c>
      <c r="P24" s="396">
        <f>+O24+501051</f>
        <v>2159696</v>
      </c>
      <c r="Q24" s="397" t="s">
        <v>208</v>
      </c>
    </row>
    <row r="25" spans="1:17" ht="20.100000000000001" customHeight="1" x14ac:dyDescent="0.25">
      <c r="A25" s="165"/>
      <c r="B25" s="389" t="s">
        <v>209</v>
      </c>
      <c r="C25" s="401"/>
      <c r="D25" s="402"/>
      <c r="E25" s="403"/>
      <c r="F25" s="403"/>
      <c r="G25" s="403"/>
      <c r="H25" s="403"/>
      <c r="I25" s="403"/>
      <c r="J25" s="403"/>
      <c r="K25" s="403"/>
      <c r="L25" s="403"/>
      <c r="M25" s="403"/>
      <c r="N25" s="403"/>
      <c r="O25" s="403"/>
      <c r="P25" s="403"/>
      <c r="Q25" s="392"/>
    </row>
    <row r="26" spans="1:17" ht="41.7" customHeight="1" x14ac:dyDescent="0.25">
      <c r="A26" s="165"/>
      <c r="B26" s="387"/>
      <c r="C26" s="398" t="s">
        <v>210</v>
      </c>
      <c r="D26" s="395"/>
      <c r="E26" s="396">
        <f t="shared" ref="E26:E27" si="9">SUM(F26:H26)</f>
        <v>833327</v>
      </c>
      <c r="F26" s="396">
        <f>0</f>
        <v>0</v>
      </c>
      <c r="G26" s="396">
        <f>+'3-Financial Aid'!E38-'3-Financial Aid'!E25</f>
        <v>833327</v>
      </c>
      <c r="H26" s="400"/>
      <c r="I26" s="396">
        <f t="shared" ref="I26:I27" si="10">SUM(J26:L26)</f>
        <v>1696443</v>
      </c>
      <c r="J26" s="396">
        <f>0</f>
        <v>0</v>
      </c>
      <c r="K26" s="396">
        <f>+'3-Financial Aid'!E51-'3-Financial Aid'!E38+G26</f>
        <v>1696443</v>
      </c>
      <c r="L26" s="400"/>
      <c r="M26" s="396">
        <f>+I26</f>
        <v>1696443</v>
      </c>
      <c r="N26" s="396">
        <f>+M26</f>
        <v>1696443</v>
      </c>
      <c r="O26" s="396">
        <f t="shared" ref="O26:P26" si="11">+N26</f>
        <v>1696443</v>
      </c>
      <c r="P26" s="396">
        <f t="shared" si="11"/>
        <v>1696443</v>
      </c>
      <c r="Q26" s="397" t="s">
        <v>211</v>
      </c>
    </row>
    <row r="27" spans="1:17" ht="46.5" customHeight="1" x14ac:dyDescent="0.25">
      <c r="A27" s="165"/>
      <c r="B27" s="387"/>
      <c r="C27" s="398" t="s">
        <v>212</v>
      </c>
      <c r="D27" s="395"/>
      <c r="E27" s="396">
        <f t="shared" si="9"/>
        <v>16798</v>
      </c>
      <c r="F27" s="396">
        <f>0</f>
        <v>0</v>
      </c>
      <c r="G27" s="396">
        <f>+'3-Financial Aid'!E39-'3-Financial Aid'!E26</f>
        <v>16798</v>
      </c>
      <c r="H27" s="400"/>
      <c r="I27" s="396">
        <f t="shared" si="10"/>
        <v>34197</v>
      </c>
      <c r="J27" s="396">
        <f>0</f>
        <v>0</v>
      </c>
      <c r="K27" s="396">
        <f>+'3-Financial Aid'!E52-'3-Financial Aid'!E39+G27</f>
        <v>34197</v>
      </c>
      <c r="L27" s="400"/>
      <c r="M27" s="396">
        <f>+I27</f>
        <v>34197</v>
      </c>
      <c r="N27" s="396">
        <f t="shared" ref="N27:P27" si="12">+M27</f>
        <v>34197</v>
      </c>
      <c r="O27" s="396">
        <f t="shared" si="12"/>
        <v>34197</v>
      </c>
      <c r="P27" s="396">
        <f t="shared" si="12"/>
        <v>34197</v>
      </c>
      <c r="Q27" s="397" t="s">
        <v>211</v>
      </c>
    </row>
    <row r="28" spans="1:17" ht="20.100000000000001" customHeight="1" x14ac:dyDescent="0.25">
      <c r="A28" s="165"/>
      <c r="B28" s="389" t="s">
        <v>213</v>
      </c>
      <c r="C28" s="401"/>
      <c r="D28" s="402"/>
      <c r="E28" s="403"/>
      <c r="F28" s="403"/>
      <c r="G28" s="403"/>
      <c r="H28" s="403"/>
      <c r="I28" s="403"/>
      <c r="J28" s="403"/>
      <c r="K28" s="403"/>
      <c r="L28" s="403"/>
      <c r="M28" s="403"/>
      <c r="N28" s="403"/>
      <c r="O28" s="403"/>
      <c r="P28" s="403"/>
      <c r="Q28" s="392"/>
    </row>
    <row r="29" spans="1:17" ht="52.5" customHeight="1" x14ac:dyDescent="0.25">
      <c r="A29" s="165"/>
      <c r="B29" s="253"/>
      <c r="C29" s="394" t="s">
        <v>214</v>
      </c>
      <c r="D29" s="395"/>
      <c r="E29" s="396">
        <f t="shared" ref="E29" si="13">SUM(F29:H29)</f>
        <v>202935</v>
      </c>
      <c r="F29" s="396">
        <f>0</f>
        <v>0</v>
      </c>
      <c r="G29" s="396">
        <v>202935</v>
      </c>
      <c r="H29" s="400"/>
      <c r="I29" s="396">
        <f t="shared" ref="I29" si="14">SUM(J29:L29)</f>
        <v>352935</v>
      </c>
      <c r="J29" s="396">
        <f>0</f>
        <v>0</v>
      </c>
      <c r="K29" s="396">
        <v>352935</v>
      </c>
      <c r="L29" s="400"/>
      <c r="M29" s="396">
        <f>+I29</f>
        <v>352935</v>
      </c>
      <c r="N29" s="396">
        <f>+M29</f>
        <v>352935</v>
      </c>
      <c r="O29" s="396">
        <f t="shared" ref="O29:P29" si="15">+N29</f>
        <v>352935</v>
      </c>
      <c r="P29" s="396">
        <f t="shared" si="15"/>
        <v>352935</v>
      </c>
      <c r="Q29" s="397" t="s">
        <v>215</v>
      </c>
    </row>
    <row r="30" spans="1:17" ht="88.2" customHeight="1" x14ac:dyDescent="0.25">
      <c r="A30" s="165"/>
      <c r="B30" s="387"/>
      <c r="C30" s="394" t="s">
        <v>216</v>
      </c>
      <c r="D30" s="395"/>
      <c r="E30" s="396">
        <f t="shared" ref="E30" si="16">SUM(F30:H30)</f>
        <v>531277</v>
      </c>
      <c r="F30" s="396">
        <f>0</f>
        <v>0</v>
      </c>
      <c r="G30" s="396">
        <v>531277</v>
      </c>
      <c r="H30" s="400"/>
      <c r="I30" s="396">
        <f t="shared" ref="I30" si="17">SUM(J30:L30)</f>
        <v>952266</v>
      </c>
      <c r="J30" s="396">
        <f>0</f>
        <v>0</v>
      </c>
      <c r="K30" s="396">
        <f>420989+G30</f>
        <v>952266</v>
      </c>
      <c r="L30" s="400"/>
      <c r="M30" s="396">
        <v>952266</v>
      </c>
      <c r="N30" s="396">
        <v>952266</v>
      </c>
      <c r="O30" s="396">
        <v>952266</v>
      </c>
      <c r="P30" s="396">
        <v>952266</v>
      </c>
      <c r="Q30" s="397" t="s">
        <v>217</v>
      </c>
    </row>
    <row r="31" spans="1:17" ht="96" customHeight="1" x14ac:dyDescent="0.25">
      <c r="A31" s="165"/>
      <c r="B31" s="387"/>
      <c r="C31" s="394" t="s">
        <v>218</v>
      </c>
      <c r="D31" s="395"/>
      <c r="E31" s="396">
        <f t="shared" ref="E31" si="18">SUM(F31:H31)</f>
        <v>0</v>
      </c>
      <c r="F31" s="396">
        <f>0</f>
        <v>0</v>
      </c>
      <c r="G31" s="396">
        <f>0</f>
        <v>0</v>
      </c>
      <c r="H31" s="400"/>
      <c r="I31" s="396">
        <f t="shared" ref="I31" si="19">SUM(J31:L31)</f>
        <v>299272</v>
      </c>
      <c r="J31" s="396">
        <f>0</f>
        <v>0</v>
      </c>
      <c r="K31" s="396">
        <v>299272</v>
      </c>
      <c r="L31" s="400"/>
      <c r="M31" s="396">
        <v>683440</v>
      </c>
      <c r="N31" s="396">
        <f>+M31</f>
        <v>683440</v>
      </c>
      <c r="O31" s="396">
        <f t="shared" ref="O31:P31" si="20">+N31</f>
        <v>683440</v>
      </c>
      <c r="P31" s="396">
        <f t="shared" si="20"/>
        <v>683440</v>
      </c>
      <c r="Q31" s="397" t="s">
        <v>219</v>
      </c>
    </row>
    <row r="32" spans="1:17" ht="20.100000000000001" customHeight="1" x14ac:dyDescent="0.25">
      <c r="A32" s="165"/>
      <c r="B32" s="389" t="s">
        <v>220</v>
      </c>
      <c r="C32" s="401"/>
      <c r="D32" s="402"/>
      <c r="E32" s="403"/>
      <c r="F32" s="403"/>
      <c r="G32" s="403"/>
      <c r="H32" s="403"/>
      <c r="I32" s="403"/>
      <c r="J32" s="403"/>
      <c r="K32" s="403"/>
      <c r="L32" s="403"/>
      <c r="M32" s="403"/>
      <c r="N32" s="403"/>
      <c r="O32" s="403"/>
      <c r="P32" s="403"/>
      <c r="Q32" s="392"/>
    </row>
    <row r="33" spans="1:17" ht="67.2" customHeight="1" x14ac:dyDescent="0.25">
      <c r="A33" s="165"/>
      <c r="B33" s="393"/>
      <c r="C33" s="394" t="s">
        <v>221</v>
      </c>
      <c r="D33" s="395"/>
      <c r="E33" s="396">
        <f t="shared" ref="E33:E34" si="21">SUM(F33:H33)</f>
        <v>376257</v>
      </c>
      <c r="F33" s="396">
        <f>0</f>
        <v>0</v>
      </c>
      <c r="G33" s="396">
        <v>376257</v>
      </c>
      <c r="H33" s="400"/>
      <c r="I33" s="396">
        <f t="shared" ref="I33:I34" si="22">SUM(J33:L33)</f>
        <v>573801</v>
      </c>
      <c r="J33" s="396">
        <f>0</f>
        <v>0</v>
      </c>
      <c r="K33" s="396">
        <f>376257+197544</f>
        <v>573801</v>
      </c>
      <c r="L33" s="400"/>
      <c r="M33" s="396">
        <v>665306</v>
      </c>
      <c r="N33" s="396">
        <f>+M33+91277</f>
        <v>756583</v>
      </c>
      <c r="O33" s="396">
        <f>+N33</f>
        <v>756583</v>
      </c>
      <c r="P33" s="396">
        <f>+O33</f>
        <v>756583</v>
      </c>
      <c r="Q33" s="397" t="s">
        <v>222</v>
      </c>
    </row>
    <row r="34" spans="1:17" ht="108.6" customHeight="1" x14ac:dyDescent="0.25">
      <c r="A34" s="165"/>
      <c r="B34" s="393"/>
      <c r="C34" s="394" t="s">
        <v>223</v>
      </c>
      <c r="D34" s="395"/>
      <c r="E34" s="396">
        <f t="shared" si="21"/>
        <v>546187</v>
      </c>
      <c r="F34" s="396">
        <f>0</f>
        <v>0</v>
      </c>
      <c r="G34" s="396">
        <v>546187</v>
      </c>
      <c r="H34" s="400"/>
      <c r="I34" s="396">
        <f t="shared" si="22"/>
        <v>1616180</v>
      </c>
      <c r="J34" s="396">
        <f>0</f>
        <v>0</v>
      </c>
      <c r="K34" s="396">
        <f>+G34+1069993</f>
        <v>1616180</v>
      </c>
      <c r="L34" s="400"/>
      <c r="M34" s="396">
        <f>+I34+750000</f>
        <v>2366180</v>
      </c>
      <c r="N34" s="396">
        <f>+M34+750000</f>
        <v>3116180</v>
      </c>
      <c r="O34" s="396">
        <f t="shared" ref="O34:P34" si="23">+N34+750000</f>
        <v>3866180</v>
      </c>
      <c r="P34" s="396">
        <f t="shared" si="23"/>
        <v>4616180</v>
      </c>
      <c r="Q34" s="397" t="s">
        <v>224</v>
      </c>
    </row>
    <row r="35" spans="1:17" ht="20.100000000000001" customHeight="1" x14ac:dyDescent="0.25">
      <c r="A35" s="165"/>
      <c r="B35" s="389" t="s">
        <v>225</v>
      </c>
      <c r="C35" s="401"/>
      <c r="D35" s="402"/>
      <c r="E35" s="403"/>
      <c r="F35" s="403"/>
      <c r="G35" s="403"/>
      <c r="H35" s="403"/>
      <c r="I35" s="403"/>
      <c r="J35" s="403"/>
      <c r="K35" s="403"/>
      <c r="L35" s="403"/>
      <c r="M35" s="403"/>
      <c r="N35" s="403"/>
      <c r="O35" s="403"/>
      <c r="P35" s="403"/>
      <c r="Q35" s="392"/>
    </row>
    <row r="36" spans="1:17" ht="55.2" customHeight="1" x14ac:dyDescent="0.25">
      <c r="A36" s="165"/>
      <c r="B36" s="253"/>
      <c r="C36" s="394" t="s">
        <v>226</v>
      </c>
      <c r="D36" s="395"/>
      <c r="E36" s="396">
        <f t="shared" ref="E36" si="24">SUM(F36:H36)</f>
        <v>0</v>
      </c>
      <c r="F36" s="396">
        <f>0</f>
        <v>0</v>
      </c>
      <c r="G36" s="396">
        <f>0</f>
        <v>0</v>
      </c>
      <c r="H36" s="400"/>
      <c r="I36" s="396">
        <f t="shared" ref="I36" si="25">SUM(J36:L36)</f>
        <v>380057</v>
      </c>
      <c r="J36" s="396">
        <f>0</f>
        <v>0</v>
      </c>
      <c r="K36" s="396">
        <v>380057</v>
      </c>
      <c r="L36" s="400"/>
      <c r="M36" s="396">
        <v>782898</v>
      </c>
      <c r="N36" s="396">
        <v>806399</v>
      </c>
      <c r="O36" s="396">
        <v>830616</v>
      </c>
      <c r="P36" s="396">
        <v>855549</v>
      </c>
      <c r="Q36" s="397" t="s">
        <v>227</v>
      </c>
    </row>
    <row r="37" spans="1:17" ht="54.6" customHeight="1" thickBot="1" x14ac:dyDescent="0.3">
      <c r="A37" s="165"/>
      <c r="B37" s="393"/>
      <c r="C37" s="394" t="s">
        <v>228</v>
      </c>
      <c r="D37" s="395"/>
      <c r="E37" s="396">
        <f t="shared" ref="E37:E38" si="26">SUM(F37:H37)</f>
        <v>0</v>
      </c>
      <c r="F37" s="396">
        <f>0</f>
        <v>0</v>
      </c>
      <c r="G37" s="396">
        <f>0</f>
        <v>0</v>
      </c>
      <c r="H37" s="400"/>
      <c r="I37" s="396">
        <f t="shared" ref="I37:I38" si="27">SUM(J37:L37)</f>
        <v>261595</v>
      </c>
      <c r="J37" s="396">
        <f>0</f>
        <v>0</v>
      </c>
      <c r="K37" s="396">
        <v>261595</v>
      </c>
      <c r="L37" s="400"/>
      <c r="M37" s="396">
        <v>571690</v>
      </c>
      <c r="N37" s="396">
        <v>588850</v>
      </c>
      <c r="O37" s="396">
        <v>606534</v>
      </c>
      <c r="P37" s="396">
        <v>624741</v>
      </c>
      <c r="Q37" s="397" t="s">
        <v>229</v>
      </c>
    </row>
    <row r="38" spans="1:17" ht="37.5" hidden="1" customHeight="1" x14ac:dyDescent="0.25">
      <c r="A38" s="165"/>
      <c r="B38" s="180"/>
      <c r="C38" s="194" t="s">
        <v>230</v>
      </c>
      <c r="D38" s="172"/>
      <c r="E38" s="174">
        <f t="shared" si="26"/>
        <v>0</v>
      </c>
      <c r="F38" s="175">
        <f>0</f>
        <v>0</v>
      </c>
      <c r="G38" s="175">
        <f>0</f>
        <v>0</v>
      </c>
      <c r="H38" s="262"/>
      <c r="I38" s="174">
        <f t="shared" si="27"/>
        <v>0</v>
      </c>
      <c r="J38" s="175">
        <f>0</f>
        <v>0</v>
      </c>
      <c r="K38" s="175">
        <f>0</f>
        <v>0</v>
      </c>
      <c r="L38" s="262"/>
      <c r="M38" s="176">
        <f>0</f>
        <v>0</v>
      </c>
      <c r="N38" s="176">
        <f>0</f>
        <v>0</v>
      </c>
      <c r="O38" s="176">
        <f>0</f>
        <v>0</v>
      </c>
      <c r="P38" s="176">
        <f>0</f>
        <v>0</v>
      </c>
      <c r="Q38" s="181"/>
    </row>
    <row r="39" spans="1:17" ht="37.5" hidden="1" customHeight="1" thickBot="1" x14ac:dyDescent="0.3">
      <c r="A39" s="165"/>
      <c r="B39" s="180"/>
      <c r="C39" s="194" t="s">
        <v>230</v>
      </c>
      <c r="D39" s="172"/>
      <c r="E39" s="174">
        <f t="shared" ref="E39" si="28">SUM(F39:H39)</f>
        <v>0</v>
      </c>
      <c r="F39" s="175">
        <f>0</f>
        <v>0</v>
      </c>
      <c r="G39" s="175">
        <f>0</f>
        <v>0</v>
      </c>
      <c r="H39" s="262"/>
      <c r="I39" s="174">
        <f t="shared" ref="I39" si="29">SUM(J39:L39)</f>
        <v>0</v>
      </c>
      <c r="J39" s="175">
        <f>0</f>
        <v>0</v>
      </c>
      <c r="K39" s="175">
        <f>0</f>
        <v>0</v>
      </c>
      <c r="L39" s="262"/>
      <c r="M39" s="176">
        <f>0</f>
        <v>0</v>
      </c>
      <c r="N39" s="176">
        <f>0</f>
        <v>0</v>
      </c>
      <c r="O39" s="176">
        <f>0</f>
        <v>0</v>
      </c>
      <c r="P39" s="176">
        <f>0</f>
        <v>0</v>
      </c>
      <c r="Q39" s="181"/>
    </row>
    <row r="40" spans="1:17" s="404" customFormat="1" ht="21" customHeight="1" x14ac:dyDescent="0.25">
      <c r="B40" s="405" t="s">
        <v>231</v>
      </c>
      <c r="C40" s="406"/>
      <c r="D40" s="407"/>
      <c r="E40" s="408">
        <f t="shared" ref="E40:P40" si="30">SUM(E12:E39)</f>
        <v>11220541</v>
      </c>
      <c r="F40" s="409">
        <f t="shared" si="30"/>
        <v>1000000</v>
      </c>
      <c r="G40" s="409">
        <f t="shared" si="30"/>
        <v>7071779</v>
      </c>
      <c r="H40" s="410">
        <f t="shared" si="30"/>
        <v>3148762</v>
      </c>
      <c r="I40" s="408">
        <f t="shared" si="30"/>
        <v>23938519</v>
      </c>
      <c r="J40" s="409">
        <f t="shared" si="30"/>
        <v>2000000</v>
      </c>
      <c r="K40" s="409">
        <f t="shared" si="30"/>
        <v>15572716</v>
      </c>
      <c r="L40" s="410">
        <f t="shared" si="30"/>
        <v>6365803</v>
      </c>
      <c r="M40" s="411">
        <f t="shared" si="30"/>
        <v>34630399</v>
      </c>
      <c r="N40" s="411">
        <f t="shared" si="30"/>
        <v>44329532</v>
      </c>
      <c r="O40" s="411">
        <f t="shared" si="30"/>
        <v>54110189</v>
      </c>
      <c r="P40" s="411">
        <f t="shared" si="30"/>
        <v>64065951</v>
      </c>
      <c r="Q40" s="412"/>
    </row>
    <row r="41" spans="1:17" ht="15.6" x14ac:dyDescent="0.25">
      <c r="B41" s="160"/>
      <c r="C41" s="267"/>
      <c r="D41" s="182"/>
      <c r="E41" s="182"/>
      <c r="F41" s="182"/>
      <c r="G41" s="182"/>
    </row>
    <row r="42" spans="1:17" ht="15.6" x14ac:dyDescent="0.25">
      <c r="B42" s="182"/>
      <c r="C42" s="267"/>
      <c r="D42" s="182"/>
      <c r="E42" s="182"/>
      <c r="F42" s="182"/>
      <c r="G42" s="182"/>
      <c r="H42" s="182"/>
      <c r="I42" s="183"/>
      <c r="J42" s="184"/>
      <c r="K42" s="184"/>
      <c r="L42" s="167"/>
      <c r="M42" s="184"/>
      <c r="N42" s="184"/>
      <c r="O42" s="184"/>
    </row>
    <row r="43" spans="1:17" ht="66" customHeight="1" x14ac:dyDescent="0.25">
      <c r="B43" s="182"/>
      <c r="I43" s="481" t="s">
        <v>232</v>
      </c>
      <c r="J43" s="482"/>
      <c r="K43" s="260"/>
    </row>
    <row r="44" spans="1:17" ht="15.6" x14ac:dyDescent="0.25">
      <c r="I44" s="158" t="s">
        <v>171</v>
      </c>
      <c r="J44" s="159" t="s">
        <v>172</v>
      </c>
      <c r="K44" s="167"/>
    </row>
    <row r="45" spans="1:17" ht="15" x14ac:dyDescent="0.25">
      <c r="I45" s="185">
        <f>G40-('2-Revenue'!E24-'2-Revenue'!C24)</f>
        <v>0</v>
      </c>
      <c r="J45" s="186">
        <f>K40-('2-Revenue'!G24-'2-Revenue'!C24)</f>
        <v>0</v>
      </c>
      <c r="K45" s="261"/>
    </row>
    <row r="46" spans="1:17" ht="69.75" customHeight="1" x14ac:dyDescent="0.25">
      <c r="G46" s="259"/>
      <c r="H46" s="258" t="s">
        <v>233</v>
      </c>
      <c r="I46" s="187"/>
      <c r="J46" s="188"/>
    </row>
  </sheetData>
  <sheetProtection insertRows="0" selectLockedCells="1" selectUnlockedCells="1"/>
  <mergeCells count="9">
    <mergeCell ref="I43:J43"/>
    <mergeCell ref="B9:C9"/>
    <mergeCell ref="A2:J2"/>
    <mergeCell ref="A3:Q3"/>
    <mergeCell ref="B4:D4"/>
    <mergeCell ref="E9:H9"/>
    <mergeCell ref="I9:L9"/>
    <mergeCell ref="Q9:Q10"/>
    <mergeCell ref="E8:P8"/>
  </mergeCells>
  <phoneticPr fontId="10" type="noConversion"/>
  <pageMargins left="0.2" right="0.2" top="0.25" bottom="0.25" header="0.3" footer="0.3"/>
  <pageSetup paperSize="5" scale="52" fitToHeight="0" orientation="landscape" horizontalDpi="1200" verticalDpi="1200" r:id="rId1"/>
  <headerFooter>
    <oddFooter>&amp;L2017 Six-Year Plan - Academic-Financial Plan&amp;C&amp;P of &amp;N&amp;RSCHEV - 5/23/17</oddFooter>
  </headerFooter>
  <rowBreaks count="2" manualBreakCount="2">
    <brk id="20" max="16" man="1"/>
    <brk id="3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C47" sqref="C47"/>
    </sheetView>
  </sheetViews>
  <sheetFormatPr defaultColWidth="8.6640625" defaultRowHeight="15.6" x14ac:dyDescent="0.3"/>
  <cols>
    <col min="1" max="1" width="34.5546875" style="303" customWidth="1"/>
    <col min="2" max="16384" width="8.6640625" style="303"/>
  </cols>
  <sheetData>
    <row r="1" spans="1:2" x14ac:dyDescent="0.3">
      <c r="A1" s="310" t="s">
        <v>234</v>
      </c>
    </row>
    <row r="2" spans="1:2" x14ac:dyDescent="0.3">
      <c r="A2" s="302"/>
      <c r="B2" s="308" t="s">
        <v>235</v>
      </c>
    </row>
    <row r="3" spans="1:2" x14ac:dyDescent="0.3">
      <c r="A3" s="304" t="s">
        <v>236</v>
      </c>
      <c r="B3" s="309" t="s">
        <v>237</v>
      </c>
    </row>
    <row r="4" spans="1:2" x14ac:dyDescent="0.3">
      <c r="A4" s="305" t="s">
        <v>238</v>
      </c>
      <c r="B4" s="306">
        <v>0.60499999999999998</v>
      </c>
    </row>
    <row r="5" spans="1:2" x14ac:dyDescent="0.3">
      <c r="A5" s="305" t="s">
        <v>239</v>
      </c>
      <c r="B5" s="306">
        <v>0.497</v>
      </c>
    </row>
    <row r="6" spans="1:2" x14ac:dyDescent="0.3">
      <c r="A6" s="305" t="s">
        <v>64</v>
      </c>
      <c r="B6" s="306">
        <v>0.51400000000000001</v>
      </c>
    </row>
    <row r="7" spans="1:2" x14ac:dyDescent="0.3">
      <c r="A7" s="305" t="s">
        <v>240</v>
      </c>
      <c r="B7" s="306">
        <v>0.60299999999999998</v>
      </c>
    </row>
    <row r="8" spans="1:2" x14ac:dyDescent="0.3">
      <c r="A8" s="305" t="s">
        <v>241</v>
      </c>
      <c r="B8" s="306">
        <v>0.48199999999999998</v>
      </c>
    </row>
    <row r="9" spans="1:2" x14ac:dyDescent="0.3">
      <c r="A9" s="305" t="s">
        <v>242</v>
      </c>
      <c r="B9" s="306">
        <v>0.56299999999999994</v>
      </c>
    </row>
    <row r="10" spans="1:2" x14ac:dyDescent="0.3">
      <c r="A10" s="305" t="s">
        <v>243</v>
      </c>
      <c r="B10" s="306">
        <v>0.59</v>
      </c>
    </row>
    <row r="11" spans="1:2" x14ac:dyDescent="0.3">
      <c r="A11" s="305" t="s">
        <v>244</v>
      </c>
      <c r="B11" s="306">
        <v>0.59399999999999997</v>
      </c>
    </row>
    <row r="12" spans="1:2" x14ac:dyDescent="0.3">
      <c r="A12" s="305" t="s">
        <v>245</v>
      </c>
      <c r="B12" s="306">
        <v>0.313</v>
      </c>
    </row>
    <row r="13" spans="1:2" x14ac:dyDescent="0.3">
      <c r="A13" s="305" t="s">
        <v>246</v>
      </c>
      <c r="B13" s="306">
        <v>0.56899999999999995</v>
      </c>
    </row>
    <row r="14" spans="1:2" x14ac:dyDescent="0.3">
      <c r="A14" s="305" t="s">
        <v>247</v>
      </c>
      <c r="B14" s="306">
        <v>0.504</v>
      </c>
    </row>
    <row r="15" spans="1:2" x14ac:dyDescent="0.3">
      <c r="A15" s="305" t="s">
        <v>248</v>
      </c>
      <c r="B15" s="306">
        <v>0.42099999999999999</v>
      </c>
    </row>
    <row r="16" spans="1:2" x14ac:dyDescent="0.3">
      <c r="A16" s="305" t="s">
        <v>249</v>
      </c>
      <c r="B16" s="306">
        <v>0.47099999999999997</v>
      </c>
    </row>
    <row r="17" spans="1:2" x14ac:dyDescent="0.3">
      <c r="A17" s="305" t="s">
        <v>250</v>
      </c>
      <c r="B17" s="306">
        <v>0.38200000000000001</v>
      </c>
    </row>
    <row r="18" spans="1:2" x14ac:dyDescent="0.3">
      <c r="A18" s="305" t="s">
        <v>251</v>
      </c>
      <c r="B18" s="306">
        <v>0.38200000000000001</v>
      </c>
    </row>
    <row r="19" spans="1:2" x14ac:dyDescent="0.3">
      <c r="A19" s="305" t="s">
        <v>252</v>
      </c>
      <c r="B19" s="306">
        <v>0.62</v>
      </c>
    </row>
    <row r="20" spans="1:2" x14ac:dyDescent="0.3">
      <c r="A20" s="305" t="s">
        <v>253</v>
      </c>
      <c r="B20" s="306">
        <v>0.628</v>
      </c>
    </row>
    <row r="21" spans="1:2" x14ac:dyDescent="0.3">
      <c r="A21" s="305" t="s">
        <v>254</v>
      </c>
      <c r="B21" s="306">
        <v>0.48199999999999998</v>
      </c>
    </row>
    <row r="22" spans="1:2" x14ac:dyDescent="0.3">
      <c r="A22" s="307" t="s">
        <v>255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pageSetUpPr fitToPage="1"/>
  </sheetPr>
  <dimension ref="A1:T40"/>
  <sheetViews>
    <sheetView topLeftCell="A7" zoomScaleNormal="100" workbookViewId="0">
      <selection activeCell="D23" sqref="D23"/>
    </sheetView>
  </sheetViews>
  <sheetFormatPr defaultRowHeight="13.2" x14ac:dyDescent="0.25"/>
  <cols>
    <col min="1" max="1" width="2.33203125" style="148" customWidth="1"/>
    <col min="2" max="2" width="43.88671875" customWidth="1"/>
    <col min="3" max="3" width="17.6640625" customWidth="1"/>
    <col min="4" max="4" width="19.88671875" customWidth="1"/>
    <col min="5" max="5" width="10.33203125" customWidth="1"/>
    <col min="6" max="6" width="12.33203125" customWidth="1"/>
    <col min="7" max="7" width="7" customWidth="1"/>
    <col min="8" max="8" width="12.33203125" customWidth="1"/>
    <col min="9" max="9" width="6.6640625" customWidth="1"/>
    <col min="10" max="10" width="12.33203125" customWidth="1"/>
    <col min="11" max="11" width="7" customWidth="1"/>
    <col min="12" max="12" width="12.33203125" customWidth="1"/>
    <col min="13" max="13" width="6.44140625" customWidth="1"/>
    <col min="14" max="14" width="13" customWidth="1"/>
    <col min="15" max="15" width="6.6640625" customWidth="1"/>
    <col min="16" max="16" width="12.88671875" customWidth="1"/>
    <col min="17" max="17" width="6.5546875" customWidth="1"/>
    <col min="18" max="18" width="10.33203125" customWidth="1"/>
    <col min="19" max="19" width="10.6640625" customWidth="1"/>
    <col min="20" max="20" width="0.33203125" style="148" customWidth="1"/>
  </cols>
  <sheetData>
    <row r="1" spans="1:20" ht="22.8" x14ac:dyDescent="0.25">
      <c r="A1" s="240" t="s">
        <v>256</v>
      </c>
      <c r="B1" s="241"/>
      <c r="C1" s="241"/>
      <c r="D1" s="241"/>
      <c r="E1" s="241"/>
      <c r="F1" s="241"/>
      <c r="G1" s="241"/>
      <c r="H1" s="242"/>
      <c r="I1" s="243"/>
      <c r="J1" s="243"/>
      <c r="K1" s="243"/>
      <c r="L1" s="243"/>
      <c r="M1" s="243"/>
      <c r="N1" s="243"/>
      <c r="O1" s="243"/>
      <c r="P1" s="243"/>
      <c r="Q1" s="243"/>
      <c r="R1" s="243"/>
      <c r="S1" s="243"/>
      <c r="T1" s="244"/>
    </row>
    <row r="2" spans="1:20" ht="22.8" x14ac:dyDescent="0.25">
      <c r="A2" s="495" t="str">
        <f>'Institution ID'!C3</f>
        <v>James Madison University</v>
      </c>
      <c r="B2" s="484"/>
      <c r="C2" s="484"/>
      <c r="D2" s="484"/>
      <c r="E2" s="484"/>
      <c r="F2" s="484"/>
      <c r="G2" s="484"/>
      <c r="H2" s="195"/>
      <c r="I2" s="148"/>
      <c r="J2" s="148"/>
      <c r="K2" s="148"/>
      <c r="L2" s="148"/>
      <c r="M2" s="148"/>
      <c r="N2" s="148"/>
      <c r="O2" s="148"/>
      <c r="P2" s="148"/>
      <c r="Q2" s="148"/>
      <c r="R2" s="148"/>
      <c r="S2" s="148"/>
      <c r="T2" s="245"/>
    </row>
    <row r="3" spans="1:20" ht="12.75" customHeight="1" x14ac:dyDescent="0.25">
      <c r="A3" s="497" t="s">
        <v>257</v>
      </c>
      <c r="B3" s="498"/>
      <c r="C3" s="498"/>
      <c r="D3" s="498"/>
      <c r="E3" s="498"/>
      <c r="F3" s="498"/>
      <c r="G3" s="498"/>
      <c r="H3" s="498"/>
      <c r="I3" s="498"/>
      <c r="J3" s="498"/>
      <c r="K3" s="498"/>
      <c r="L3" s="498"/>
      <c r="M3" s="498"/>
      <c r="N3" s="498"/>
      <c r="O3" s="498"/>
      <c r="P3" s="498"/>
      <c r="Q3" s="498"/>
      <c r="R3" s="498"/>
      <c r="S3" s="498"/>
      <c r="T3" s="245"/>
    </row>
    <row r="4" spans="1:20" ht="102.75" customHeight="1" x14ac:dyDescent="0.25">
      <c r="A4" s="497"/>
      <c r="B4" s="498"/>
      <c r="C4" s="498"/>
      <c r="D4" s="498"/>
      <c r="E4" s="498"/>
      <c r="F4" s="498"/>
      <c r="G4" s="498"/>
      <c r="H4" s="498"/>
      <c r="I4" s="498"/>
      <c r="J4" s="498"/>
      <c r="K4" s="498"/>
      <c r="L4" s="498"/>
      <c r="M4" s="498"/>
      <c r="N4" s="498"/>
      <c r="O4" s="498"/>
      <c r="P4" s="498"/>
      <c r="Q4" s="498"/>
      <c r="R4" s="498"/>
      <c r="S4" s="498"/>
      <c r="T4" s="245"/>
    </row>
    <row r="5" spans="1:20" x14ac:dyDescent="0.25">
      <c r="A5" s="246"/>
      <c r="B5" s="148"/>
      <c r="C5" s="148"/>
      <c r="D5" s="148"/>
      <c r="E5" s="148"/>
      <c r="F5" s="148"/>
      <c r="G5" s="148"/>
      <c r="H5" s="148"/>
      <c r="I5" s="148"/>
      <c r="J5" s="148"/>
      <c r="K5" s="148"/>
      <c r="L5" s="148"/>
      <c r="M5" s="148"/>
      <c r="N5" s="148"/>
      <c r="O5" s="148"/>
      <c r="P5" s="148"/>
      <c r="Q5" s="148"/>
      <c r="R5" s="148"/>
      <c r="S5" s="148"/>
      <c r="T5" s="245"/>
    </row>
    <row r="6" spans="1:20" s="148" customFormat="1" ht="13.8" thickBot="1" x14ac:dyDescent="0.3">
      <c r="A6" s="246"/>
      <c r="R6" s="496" t="s">
        <v>258</v>
      </c>
      <c r="S6" s="496"/>
      <c r="T6" s="245"/>
    </row>
    <row r="7" spans="1:20" s="329" customFormat="1" ht="24.45" customHeight="1" x14ac:dyDescent="0.25">
      <c r="A7" s="322"/>
      <c r="B7" s="323" t="s">
        <v>259</v>
      </c>
      <c r="C7" s="324" t="s">
        <v>93</v>
      </c>
      <c r="D7" s="324" t="s">
        <v>94</v>
      </c>
      <c r="E7" s="325" t="s">
        <v>102</v>
      </c>
      <c r="F7" s="203" t="s">
        <v>171</v>
      </c>
      <c r="G7" s="325" t="s">
        <v>102</v>
      </c>
      <c r="H7" s="203" t="s">
        <v>172</v>
      </c>
      <c r="I7" s="325" t="s">
        <v>102</v>
      </c>
      <c r="J7" s="204" t="s">
        <v>173</v>
      </c>
      <c r="K7" s="325" t="s">
        <v>102</v>
      </c>
      <c r="L7" s="204" t="s">
        <v>174</v>
      </c>
      <c r="M7" s="325" t="s">
        <v>102</v>
      </c>
      <c r="N7" s="204" t="s">
        <v>175</v>
      </c>
      <c r="O7" s="325" t="s">
        <v>102</v>
      </c>
      <c r="P7" s="204" t="s">
        <v>176</v>
      </c>
      <c r="Q7" s="325" t="s">
        <v>102</v>
      </c>
      <c r="R7" s="326" t="s">
        <v>260</v>
      </c>
      <c r="S7" s="327" t="s">
        <v>261</v>
      </c>
      <c r="T7" s="328"/>
    </row>
    <row r="8" spans="1:20" x14ac:dyDescent="0.25">
      <c r="A8" s="246"/>
      <c r="B8" s="157" t="s">
        <v>262</v>
      </c>
      <c r="C8" s="236">
        <f>'2-Revenue'!B25</f>
        <v>163805747</v>
      </c>
      <c r="D8" s="236">
        <f>'2-Revenue'!C25</f>
        <v>175753186</v>
      </c>
      <c r="E8" s="237">
        <f>IF(C8=0,"%",D8/C8-1)</f>
        <v>7.293662901827247E-2</v>
      </c>
      <c r="F8" s="236">
        <f>D8+'4-Academic-Financial'!H40</f>
        <v>178901948</v>
      </c>
      <c r="G8" s="237">
        <f>IF(D8=0,"%",F8/D8-1)</f>
        <v>1.7915817469163819E-2</v>
      </c>
      <c r="H8" s="236">
        <f>D8+'4-Academic-Financial'!L40</f>
        <v>182118989</v>
      </c>
      <c r="I8" s="237">
        <f>IF(F8=0,"%",H8/F8-1)</f>
        <v>1.7982146287194078E-2</v>
      </c>
      <c r="J8" s="236">
        <f>IFERROR(D8+'4-Academic-Financial'!L6*SUM('4-Academic-Financial'!M12:M18,'4-Academic-Financial'!M22),0)</f>
        <v>185407279.73874339</v>
      </c>
      <c r="K8" s="237">
        <f>IF(H8=0,"%",J8/H8-1)</f>
        <v>1.8055726955212847E-2</v>
      </c>
      <c r="L8" s="236">
        <f>IFERROR(D8+'4-Academic-Financial'!L6*SUM('4-Academic-Financial'!N12:N18, '4-Academic-Financial'!N22),0)</f>
        <v>188768192.99850276</v>
      </c>
      <c r="M8" s="237">
        <f>IF(J8=0,"%",L8/J8-1)</f>
        <v>1.8127191470017845E-2</v>
      </c>
      <c r="N8" s="236">
        <f>IFERROR(D8+'4-Academic-Financial'!L6*SUM('4-Academic-Financial'!O12:O18, '4-Academic-Financial'!O22),0)</f>
        <v>192204126.07445338</v>
      </c>
      <c r="O8" s="237">
        <f>IF(L8=0,"%",N8/L8-1)</f>
        <v>1.8201864526921963E-2</v>
      </c>
      <c r="P8" s="236">
        <f>IFERROR(D8+'4-Academic-Financial'!L6*SUM('4-Academic-Financial'!P12:P18,'4-Academic-Financial'!P22),0)</f>
        <v>195712468.36149341</v>
      </c>
      <c r="Q8" s="237">
        <f>IF(N8=0,"%",P8/N8-1)</f>
        <v>1.8253210056900615E-2</v>
      </c>
      <c r="R8" s="280">
        <f>IF(C8=0,"%",P8/C8-1)</f>
        <v>0.19478389461813816</v>
      </c>
      <c r="S8" s="272">
        <f>IFERROR(R8/7,"%")</f>
        <v>2.7826270659734025E-2</v>
      </c>
      <c r="T8" s="245"/>
    </row>
    <row r="9" spans="1:20" x14ac:dyDescent="0.25">
      <c r="A9" s="246"/>
      <c r="B9" s="152" t="s">
        <v>263</v>
      </c>
      <c r="C9" s="191">
        <f>'3-Financial Aid'!I18</f>
        <v>4.1695216708089997E-2</v>
      </c>
      <c r="D9" s="191">
        <f>'3-Financial Aid'!I31</f>
        <v>2.7343341355524641E-2</v>
      </c>
      <c r="E9" s="219" t="str">
        <f>IF(OR(C9=0,C9="%"),"%",_xlfn.CONCAT(ROUND(D9-C9,5)*100,"pt"))</f>
        <v>-1.435pt</v>
      </c>
      <c r="F9" s="191">
        <f>'3-Financial Aid'!I44</f>
        <v>3.1687395772872093E-2</v>
      </c>
      <c r="G9" s="219" t="str">
        <f>IF(OR(D9=0,D9="%"),"%",_xlfn.CONCAT(ROUND(F9-D9,5)*100,"pt"))</f>
        <v>0.434pt</v>
      </c>
      <c r="H9" s="191">
        <f>'3-Financial Aid'!I57</f>
        <v>3.5931059139791777E-2</v>
      </c>
      <c r="I9" s="219" t="str">
        <f>IF(OR(F9=0,F9="%"),"%",_xlfn.CONCAT(ROUND(H9-F9,5)*100,"pt"))</f>
        <v>0.424pt</v>
      </c>
      <c r="J9" s="191">
        <f>'3-Financial Aid'!I70</f>
        <v>3.9449098370783066E-2</v>
      </c>
      <c r="K9" s="219" t="str">
        <f>IF(OR(H9=0,H9="%"),"%",_xlfn.CONCAT(ROUND(J9-H9,5)*100,"pt"))</f>
        <v>0.352pt</v>
      </c>
      <c r="L9" s="191">
        <f>'3-Financial Aid'!I83</f>
        <v>4.3295974425321841E-2</v>
      </c>
      <c r="M9" s="219" t="str">
        <f>IF(OR(J9=0,J9="%"),"%",_xlfn.CONCAT(ROUND(L9-J9,5)*100,"pt"))</f>
        <v>0.385pt</v>
      </c>
      <c r="N9" s="191">
        <f>'3-Financial Aid'!I96</f>
        <v>4.6311599346531458E-2</v>
      </c>
      <c r="O9" s="219" t="str">
        <f>IF(OR(L9=0,L9="%"),"%",_xlfn.CONCAT(ROUND(N9-L9,5)*100,"pt"))</f>
        <v>0.302pt</v>
      </c>
      <c r="P9" s="191">
        <f>'3-Financial Aid'!I109</f>
        <v>4.9676507989277599E-2</v>
      </c>
      <c r="Q9" s="219" t="str">
        <f>IF(OR(N9=0,N9="%"),"%",_xlfn.CONCAT(ROUND(P9-N9,5)*100,"pt"))</f>
        <v>0.336pt</v>
      </c>
      <c r="R9" s="281" t="str">
        <f>IF(OR(C9=0,C9="%"),"%",_xlfn.CONCAT(ROUND(P9-C9,5)*100,"pt"))</f>
        <v>0.798pt</v>
      </c>
      <c r="S9" s="274" t="str">
        <f>IFERROR(R9/7,"%")</f>
        <v>%</v>
      </c>
      <c r="T9" s="245"/>
    </row>
    <row r="10" spans="1:20" x14ac:dyDescent="0.25">
      <c r="A10" s="246"/>
      <c r="B10" s="153" t="s">
        <v>264</v>
      </c>
      <c r="C10" s="230">
        <f>'2-Revenue'!B24</f>
        <v>257997796</v>
      </c>
      <c r="D10" s="230">
        <f>'2-Revenue'!C24</f>
        <v>263600905</v>
      </c>
      <c r="E10" s="231">
        <f t="shared" ref="E10:E18" si="0">IF(C10=0,"%",D10/C10-1)</f>
        <v>2.1717662270262172E-2</v>
      </c>
      <c r="F10" s="230">
        <f>'2-Revenue'!E24</f>
        <v>270672684</v>
      </c>
      <c r="G10" s="231">
        <f t="shared" ref="G10:Q18" si="1">IF(D10=0,"%",F10/D10-1)</f>
        <v>2.6827597575964424E-2</v>
      </c>
      <c r="H10" s="230">
        <f>'2-Revenue'!G24</f>
        <v>279173621</v>
      </c>
      <c r="I10" s="231">
        <f t="shared" ref="I10:Q18" si="2">IF(F10=0,"%",H10/F10-1)</f>
        <v>3.1406704490357873E-2</v>
      </c>
      <c r="J10" s="230">
        <f>'2-Revenue'!I24</f>
        <v>277723562</v>
      </c>
      <c r="K10" s="231">
        <f t="shared" si="2"/>
        <v>-5.1941118032781119E-3</v>
      </c>
      <c r="L10" s="230">
        <f>'2-Revenue'!K24</f>
        <v>276765991</v>
      </c>
      <c r="M10" s="231">
        <f t="shared" si="2"/>
        <v>-3.4479285556621164E-3</v>
      </c>
      <c r="N10" s="230">
        <f>'2-Revenue'!M24</f>
        <v>276078707</v>
      </c>
      <c r="O10" s="231">
        <f t="shared" si="2"/>
        <v>-2.4832675341242005E-3</v>
      </c>
      <c r="P10" s="230">
        <f>'2-Revenue'!O24</f>
        <v>275680876</v>
      </c>
      <c r="Q10" s="231">
        <f t="shared" si="2"/>
        <v>-1.4410057346436744E-3</v>
      </c>
      <c r="R10" s="282">
        <f>IF(C10=0,"%",P10/C10-1)</f>
        <v>6.8539655276744993E-2</v>
      </c>
      <c r="S10" s="273">
        <f>IFERROR(R10/7,"%")</f>
        <v>9.7913793252492852E-3</v>
      </c>
      <c r="T10" s="245"/>
    </row>
    <row r="11" spans="1:20" x14ac:dyDescent="0.25">
      <c r="A11" s="246"/>
      <c r="B11" s="152" t="s">
        <v>265</v>
      </c>
      <c r="C11" s="225"/>
      <c r="D11" s="196">
        <f>D10-C10</f>
        <v>5603109</v>
      </c>
      <c r="E11" s="218"/>
      <c r="F11" s="196">
        <f>F10-D10</f>
        <v>7071779</v>
      </c>
      <c r="G11" s="218">
        <f t="shared" si="1"/>
        <v>0.26211697827045666</v>
      </c>
      <c r="H11" s="196">
        <f>H10-F10</f>
        <v>8500937</v>
      </c>
      <c r="I11" s="218">
        <f t="shared" si="2"/>
        <v>0.2020931366774894</v>
      </c>
      <c r="J11" s="196">
        <f>J10-H10</f>
        <v>-1450059</v>
      </c>
      <c r="K11" s="218">
        <f t="shared" si="2"/>
        <v>-1.1705763729339482</v>
      </c>
      <c r="L11" s="196">
        <f>L10-J10</f>
        <v>-957571</v>
      </c>
      <c r="M11" s="218">
        <f t="shared" si="2"/>
        <v>-0.33963307699893586</v>
      </c>
      <c r="N11" s="196">
        <f>N10-L10</f>
        <v>-687284</v>
      </c>
      <c r="O11" s="218">
        <f t="shared" si="2"/>
        <v>-0.28226314288966559</v>
      </c>
      <c r="P11" s="196">
        <f>P10-N10</f>
        <v>-397831</v>
      </c>
      <c r="Q11" s="218">
        <f t="shared" si="2"/>
        <v>-0.4211548646556591</v>
      </c>
      <c r="R11" s="283">
        <f>IF(D11=0,"%",P11/D11-1)</f>
        <v>-1.0710018313047274</v>
      </c>
      <c r="S11" s="222"/>
      <c r="T11" s="245"/>
    </row>
    <row r="12" spans="1:20" x14ac:dyDescent="0.25">
      <c r="A12" s="246"/>
      <c r="B12" s="152" t="s">
        <v>266</v>
      </c>
      <c r="C12" s="225">
        <f>C10+C8</f>
        <v>421803543</v>
      </c>
      <c r="D12" s="225">
        <f>D10+D8</f>
        <v>439354091</v>
      </c>
      <c r="E12" s="220">
        <f t="shared" ref="E12" si="3">IF(C12=0,"%",D12/C12-1)</f>
        <v>4.1608346566211818E-2</v>
      </c>
      <c r="F12" s="225">
        <f>F10+F8</f>
        <v>449574632</v>
      </c>
      <c r="G12" s="220">
        <f t="shared" si="1"/>
        <v>2.3262651263215472E-2</v>
      </c>
      <c r="H12" s="225">
        <f>H10+H8</f>
        <v>461292610</v>
      </c>
      <c r="I12" s="220">
        <f t="shared" si="1"/>
        <v>2.6064588982414039E-2</v>
      </c>
      <c r="J12" s="225">
        <f>J10+J8</f>
        <v>463130841.73874342</v>
      </c>
      <c r="K12" s="220">
        <f t="shared" si="1"/>
        <v>3.9849581348017082E-3</v>
      </c>
      <c r="L12" s="225">
        <f>L10+L8</f>
        <v>465534183.99850273</v>
      </c>
      <c r="M12" s="220">
        <f t="shared" si="1"/>
        <v>5.1893375330747116E-3</v>
      </c>
      <c r="N12" s="225">
        <f>N10+N8</f>
        <v>468282833.07445335</v>
      </c>
      <c r="O12" s="220">
        <f t="shared" si="1"/>
        <v>5.9042905342467922E-3</v>
      </c>
      <c r="P12" s="225">
        <f>P10+P8</f>
        <v>471393344.36149341</v>
      </c>
      <c r="Q12" s="220">
        <f t="shared" si="1"/>
        <v>6.6423773569028732E-3</v>
      </c>
      <c r="R12" s="283">
        <f>IF(D12=0,"%",P12/D12-1)</f>
        <v>7.2923534838539528E-2</v>
      </c>
      <c r="S12" s="222">
        <f>IFERROR(R12/7,"%")</f>
        <v>1.0417647834077075E-2</v>
      </c>
      <c r="T12" s="245"/>
    </row>
    <row r="13" spans="1:20" x14ac:dyDescent="0.25">
      <c r="A13" s="246"/>
      <c r="B13" s="154" t="s">
        <v>267</v>
      </c>
      <c r="C13" s="238">
        <f>IF(C8+C10=0,"%",C8/(C8+C10))</f>
        <v>0.38834606706942715</v>
      </c>
      <c r="D13" s="238">
        <f>IF(D8+D10=0,"%",D8/(D8+D10))</f>
        <v>0.40002628768056697</v>
      </c>
      <c r="E13" s="239" t="str">
        <f>IF(OR(C13=0,C13="%"),"%",_xlfn.CONCAT(ROUND(D13-C13,3)*100,"pt"))</f>
        <v>1.2pt</v>
      </c>
      <c r="F13" s="238">
        <f>IF(F8+F10=0,"%",F8/(F8+F10))</f>
        <v>0.39793603834835589</v>
      </c>
      <c r="G13" s="239" t="str">
        <f>IF(OR(D13=0,D13="%"),"%",_xlfn.CONCAT(ROUND(F13-D13,3)*100,"pt"))</f>
        <v>-0.2pt</v>
      </c>
      <c r="H13" s="238">
        <f>IF(H8+H10=0,"%",H8/(H8+H10))</f>
        <v>0.39480144500905834</v>
      </c>
      <c r="I13" s="239" t="str">
        <f>IF(OR(F13=0,F13="%"),"%",_xlfn.CONCAT(ROUND(H13-F13,3)*100,"pt"))</f>
        <v>-0.3pt</v>
      </c>
      <c r="J13" s="238">
        <f>IF(J8+J10=0,"%",J8/(J8+J10))</f>
        <v>0.40033455565745596</v>
      </c>
      <c r="K13" s="239" t="str">
        <f>IF(OR(H13=0,H13="%"),"%",_xlfn.CONCAT(ROUND(J13-H13,3)*100,"pt"))</f>
        <v>0.6pt</v>
      </c>
      <c r="L13" s="238">
        <f>IF(L8+L10=0,"%",L8/(L8+L10))</f>
        <v>0.40548728640539505</v>
      </c>
      <c r="M13" s="239" t="str">
        <f>IF(OR(J13=0,J13="%"),"%",_xlfn.CONCAT(ROUND(L13-J13,3)*100,"pt"))</f>
        <v>0.5pt</v>
      </c>
      <c r="N13" s="238">
        <f>IF(N8+N10=0,"%",N8/(N8+N10))</f>
        <v>0.41044452732243208</v>
      </c>
      <c r="O13" s="239" t="str">
        <f>IF(OR(L13=0,L13="%"),"%",_xlfn.CONCAT(ROUND(N13-L13,3)*100,"pt"))</f>
        <v>0.5pt</v>
      </c>
      <c r="P13" s="238">
        <f>IF(P8+P10=0,"%",P8/(P8+P10))</f>
        <v>0.41517868400663938</v>
      </c>
      <c r="Q13" s="239" t="str">
        <f>IF(OR(N13=0,N13="%"),"%",_xlfn.CONCAT(ROUND(P13-N13,3)*100,"pt"))</f>
        <v>0.5pt</v>
      </c>
      <c r="R13" s="284" t="str">
        <f>IF(OR(C13=0,C13="%"),"%",_xlfn.CONCAT(ROUND(P13-C13,3)*100,"pt"))</f>
        <v>2.7pt</v>
      </c>
      <c r="S13" s="274" t="str">
        <f>IFERROR(R13/7,"%")</f>
        <v>%</v>
      </c>
      <c r="T13" s="245"/>
    </row>
    <row r="14" spans="1:20" x14ac:dyDescent="0.25">
      <c r="A14" s="246"/>
      <c r="B14" s="153" t="s">
        <v>268</v>
      </c>
      <c r="C14" s="230">
        <f>'4-Academic-Financial'!D5</f>
        <v>421803543</v>
      </c>
      <c r="D14" s="230">
        <f>'4-Academic-Financial'!D6</f>
        <v>439354091</v>
      </c>
      <c r="E14" s="231">
        <f t="shared" si="0"/>
        <v>4.1608346566211818E-2</v>
      </c>
      <c r="F14" s="230">
        <f>$D$14+F15-F16</f>
        <v>449574632</v>
      </c>
      <c r="G14" s="231">
        <f t="shared" si="1"/>
        <v>2.3262651263215472E-2</v>
      </c>
      <c r="H14" s="230">
        <f>$D$14+H15-H16</f>
        <v>461292610</v>
      </c>
      <c r="I14" s="231">
        <f t="shared" si="2"/>
        <v>2.6064588982414039E-2</v>
      </c>
      <c r="J14" s="230">
        <f>$D$14+J15-J16</f>
        <v>471984490</v>
      </c>
      <c r="K14" s="231">
        <f t="shared" si="2"/>
        <v>2.3178086464467729E-2</v>
      </c>
      <c r="L14" s="230">
        <f>$D$14+L15-L16</f>
        <v>481683623</v>
      </c>
      <c r="M14" s="231">
        <f t="shared" si="2"/>
        <v>2.0549685859380773E-2</v>
      </c>
      <c r="N14" s="230">
        <f>$D$14+N15-N16</f>
        <v>491464280</v>
      </c>
      <c r="O14" s="231">
        <f t="shared" si="2"/>
        <v>2.0305147472285956E-2</v>
      </c>
      <c r="P14" s="230">
        <f>$D$14+P15-P16</f>
        <v>501420042</v>
      </c>
      <c r="Q14" s="231">
        <f t="shared" si="2"/>
        <v>2.0257346067958482E-2</v>
      </c>
      <c r="R14" s="282">
        <f>IF(C14=0,"%",P14/C14-1)</f>
        <v>0.18875256104712235</v>
      </c>
      <c r="S14" s="273">
        <f>IFERROR(R14/7,"%")</f>
        <v>2.6964651578160335E-2</v>
      </c>
      <c r="T14" s="245"/>
    </row>
    <row r="15" spans="1:20" x14ac:dyDescent="0.25">
      <c r="A15" s="246"/>
      <c r="B15" s="152" t="s">
        <v>269</v>
      </c>
      <c r="C15" s="225"/>
      <c r="D15" s="196"/>
      <c r="E15" s="218"/>
      <c r="F15" s="196">
        <f>'4-Academic-Financial'!E40</f>
        <v>11220541</v>
      </c>
      <c r="G15" s="218"/>
      <c r="H15" s="196">
        <f>'4-Academic-Financial'!I40</f>
        <v>23938519</v>
      </c>
      <c r="I15" s="218">
        <f t="shared" si="2"/>
        <v>1.1334549733386297</v>
      </c>
      <c r="J15" s="196">
        <f>'4-Academic-Financial'!M40</f>
        <v>34630399</v>
      </c>
      <c r="K15" s="218">
        <f t="shared" si="2"/>
        <v>0.44663915925625974</v>
      </c>
      <c r="L15" s="196">
        <f>'4-Academic-Financial'!N40</f>
        <v>44329532</v>
      </c>
      <c r="M15" s="218">
        <f t="shared" si="2"/>
        <v>0.28007569303489688</v>
      </c>
      <c r="N15" s="196">
        <f>'4-Academic-Financial'!O40</f>
        <v>54110189</v>
      </c>
      <c r="O15" s="218">
        <f t="shared" si="2"/>
        <v>0.22063524153604863</v>
      </c>
      <c r="P15" s="196">
        <f>'4-Academic-Financial'!P40</f>
        <v>64065951</v>
      </c>
      <c r="Q15" s="218">
        <f t="shared" si="2"/>
        <v>0.18399052348532741</v>
      </c>
      <c r="R15" s="283">
        <f>IF(F15=0,"%",P15/F15-1)</f>
        <v>4.7097025000844432</v>
      </c>
      <c r="S15" s="222"/>
      <c r="T15" s="245"/>
    </row>
    <row r="16" spans="1:20" x14ac:dyDescent="0.25">
      <c r="A16" s="246"/>
      <c r="B16" s="154" t="s">
        <v>270</v>
      </c>
      <c r="C16" s="232"/>
      <c r="D16" s="233"/>
      <c r="E16" s="234"/>
      <c r="F16" s="235">
        <f>'4-Academic-Financial'!F40</f>
        <v>1000000</v>
      </c>
      <c r="G16" s="234"/>
      <c r="H16" s="235">
        <f>'4-Academic-Financial'!J40</f>
        <v>2000000</v>
      </c>
      <c r="I16" s="234">
        <f t="shared" si="2"/>
        <v>1</v>
      </c>
      <c r="J16" s="235">
        <f>H16</f>
        <v>2000000</v>
      </c>
      <c r="K16" s="234"/>
      <c r="L16" s="235">
        <f>J16</f>
        <v>2000000</v>
      </c>
      <c r="M16" s="234"/>
      <c r="N16" s="235">
        <f>L16</f>
        <v>2000000</v>
      </c>
      <c r="O16" s="234"/>
      <c r="P16" s="235">
        <f>N16</f>
        <v>2000000</v>
      </c>
      <c r="Q16" s="234"/>
      <c r="R16" s="285"/>
      <c r="S16" s="274"/>
      <c r="T16" s="245"/>
    </row>
    <row r="17" spans="1:20" x14ac:dyDescent="0.25">
      <c r="A17" s="246"/>
      <c r="B17" s="205" t="s">
        <v>271</v>
      </c>
      <c r="C17" s="189">
        <f>C12-C14</f>
        <v>0</v>
      </c>
      <c r="D17" s="189">
        <f>D12-D14</f>
        <v>0</v>
      </c>
      <c r="E17" s="197" t="str">
        <f t="shared" si="0"/>
        <v>%</v>
      </c>
      <c r="F17" s="189">
        <f>F12-F14</f>
        <v>0</v>
      </c>
      <c r="G17" s="197" t="str">
        <f t="shared" si="1"/>
        <v>%</v>
      </c>
      <c r="H17" s="189">
        <f>H12-H14</f>
        <v>0</v>
      </c>
      <c r="I17" s="198" t="str">
        <f t="shared" si="2"/>
        <v>%</v>
      </c>
      <c r="J17" s="189">
        <f>J12-J14</f>
        <v>-8853648.2612565756</v>
      </c>
      <c r="K17" s="198" t="str">
        <f t="shared" si="2"/>
        <v>%</v>
      </c>
      <c r="L17" s="189">
        <f>L12-L14</f>
        <v>-16149439.001497269</v>
      </c>
      <c r="M17" s="198">
        <f t="shared" si="2"/>
        <v>0.82404343666632407</v>
      </c>
      <c r="N17" s="189">
        <f>N12-N14</f>
        <v>-23181446.925546646</v>
      </c>
      <c r="O17" s="198">
        <f t="shared" si="2"/>
        <v>0.43543357285645756</v>
      </c>
      <c r="P17" s="189">
        <f>P12-P14</f>
        <v>-30026697.638506591</v>
      </c>
      <c r="Q17" s="198">
        <f t="shared" si="2"/>
        <v>0.29529005393603258</v>
      </c>
      <c r="R17" s="286" t="str">
        <f>IF(F17=0,"%",P17/F17-1)</f>
        <v>%</v>
      </c>
      <c r="S17" s="275" t="str">
        <f>IFERROR(R17/7,"%")</f>
        <v>%</v>
      </c>
      <c r="T17" s="245"/>
    </row>
    <row r="18" spans="1:20" ht="13.8" thickBot="1" x14ac:dyDescent="0.3">
      <c r="A18" s="246"/>
      <c r="B18" s="206" t="s">
        <v>272</v>
      </c>
      <c r="C18" s="207">
        <f>C17</f>
        <v>0</v>
      </c>
      <c r="D18" s="208">
        <f>D17-C17</f>
        <v>0</v>
      </c>
      <c r="E18" s="209" t="str">
        <f t="shared" si="0"/>
        <v>%</v>
      </c>
      <c r="F18" s="210">
        <f>F17-D17</f>
        <v>0</v>
      </c>
      <c r="G18" s="209" t="str">
        <f t="shared" si="1"/>
        <v>%</v>
      </c>
      <c r="H18" s="210">
        <f>H17-F17</f>
        <v>0</v>
      </c>
      <c r="I18" s="211" t="str">
        <f t="shared" si="2"/>
        <v>%</v>
      </c>
      <c r="J18" s="210">
        <f>J17-H17</f>
        <v>-8853648.2612565756</v>
      </c>
      <c r="K18" s="211" t="str">
        <f t="shared" si="2"/>
        <v>%</v>
      </c>
      <c r="L18" s="210">
        <f>L17-J17</f>
        <v>-7295790.7402406931</v>
      </c>
      <c r="M18" s="211">
        <f t="shared" si="2"/>
        <v>-0.17595656333367593</v>
      </c>
      <c r="N18" s="210">
        <f>N17-L17</f>
        <v>-7032007.9240493774</v>
      </c>
      <c r="O18" s="211">
        <f t="shared" si="2"/>
        <v>-3.6155479999774975E-2</v>
      </c>
      <c r="P18" s="210">
        <f>P17-N17</f>
        <v>-6845250.7129599452</v>
      </c>
      <c r="Q18" s="211">
        <f t="shared" si="2"/>
        <v>-2.6558162776057936E-2</v>
      </c>
      <c r="R18" s="287" t="str">
        <f>IF(F18=0,"%",P18/F18-1)</f>
        <v>%</v>
      </c>
      <c r="S18" s="276" t="str">
        <f>IFERROR(R18/7,"%")</f>
        <v>%</v>
      </c>
      <c r="T18" s="245"/>
    </row>
    <row r="19" spans="1:20" x14ac:dyDescent="0.25">
      <c r="A19" s="246"/>
      <c r="B19" s="148"/>
      <c r="C19" s="148"/>
      <c r="D19" s="148"/>
      <c r="E19" s="148"/>
      <c r="F19" s="148"/>
      <c r="G19" s="148"/>
      <c r="H19" s="148"/>
      <c r="I19" s="148"/>
      <c r="J19" s="148"/>
      <c r="K19" s="148"/>
      <c r="L19" s="148"/>
      <c r="M19" s="148"/>
      <c r="N19" s="148"/>
      <c r="O19" s="148"/>
      <c r="P19" s="148"/>
      <c r="Q19" s="148"/>
      <c r="R19" s="148"/>
      <c r="S19" s="148"/>
      <c r="T19" s="245"/>
    </row>
    <row r="20" spans="1:20" ht="13.8" thickBot="1" x14ac:dyDescent="0.3">
      <c r="A20" s="246"/>
      <c r="B20" s="148"/>
      <c r="C20" s="148"/>
      <c r="D20" s="148"/>
      <c r="E20" s="148"/>
      <c r="F20" s="148"/>
      <c r="G20" s="148"/>
      <c r="H20" s="148"/>
      <c r="I20" s="148"/>
      <c r="J20" s="199"/>
      <c r="K20" s="148"/>
      <c r="L20" s="148"/>
      <c r="M20" s="148"/>
      <c r="N20" s="148"/>
      <c r="O20" s="148"/>
      <c r="P20" s="148"/>
      <c r="Q20" s="148"/>
      <c r="R20" s="148"/>
      <c r="S20" s="148"/>
      <c r="T20" s="245"/>
    </row>
    <row r="21" spans="1:20" s="148" customFormat="1" ht="13.8" thickBot="1" x14ac:dyDescent="0.3">
      <c r="A21" s="246"/>
      <c r="B21" s="249" t="s">
        <v>273</v>
      </c>
      <c r="C21" s="250"/>
      <c r="D21" s="250"/>
      <c r="E21" s="250"/>
      <c r="F21" s="250"/>
      <c r="G21" s="250"/>
      <c r="H21" s="250"/>
      <c r="I21" s="250"/>
      <c r="J21" s="250"/>
      <c r="K21" s="250"/>
      <c r="L21" s="250"/>
      <c r="M21" s="250"/>
      <c r="N21" s="250"/>
      <c r="O21" s="250"/>
      <c r="P21" s="250"/>
      <c r="Q21" s="250"/>
      <c r="R21" s="288"/>
      <c r="S21" s="277"/>
      <c r="T21" s="245"/>
    </row>
    <row r="22" spans="1:20" s="337" customFormat="1" ht="39.6" x14ac:dyDescent="0.25">
      <c r="A22" s="330"/>
      <c r="B22" s="343"/>
      <c r="C22" s="344" t="s">
        <v>93</v>
      </c>
      <c r="D22" s="344" t="s">
        <v>94</v>
      </c>
      <c r="E22" s="345" t="s">
        <v>102</v>
      </c>
      <c r="F22" s="200" t="s">
        <v>171</v>
      </c>
      <c r="G22" s="345" t="s">
        <v>102</v>
      </c>
      <c r="H22" s="200" t="s">
        <v>172</v>
      </c>
      <c r="I22" s="345" t="s">
        <v>102</v>
      </c>
      <c r="J22" s="201" t="s">
        <v>173</v>
      </c>
      <c r="K22" s="345" t="s">
        <v>102</v>
      </c>
      <c r="L22" s="201" t="s">
        <v>174</v>
      </c>
      <c r="M22" s="345" t="s">
        <v>102</v>
      </c>
      <c r="N22" s="201" t="s">
        <v>175</v>
      </c>
      <c r="O22" s="345" t="s">
        <v>102</v>
      </c>
      <c r="P22" s="201" t="s">
        <v>176</v>
      </c>
      <c r="Q22" s="345" t="s">
        <v>102</v>
      </c>
      <c r="R22" s="346" t="s">
        <v>260</v>
      </c>
      <c r="S22" s="347" t="s">
        <v>261</v>
      </c>
      <c r="T22" s="336"/>
    </row>
    <row r="23" spans="1:20" s="337" customFormat="1" x14ac:dyDescent="0.25">
      <c r="A23" s="330"/>
      <c r="B23" s="331" t="s">
        <v>274</v>
      </c>
      <c r="C23" s="332">
        <f>C13</f>
        <v>0.38834606706942715</v>
      </c>
      <c r="D23" s="332">
        <f>C23</f>
        <v>0.38834606706942715</v>
      </c>
      <c r="E23" s="333" t="str">
        <f>IF(OR(C23=0,C23="%"),"%",_xlfn.CONCAT(ROUND(D23-C23,3)*100,"pt"))</f>
        <v>0pt</v>
      </c>
      <c r="F23" s="332">
        <f>D23</f>
        <v>0.38834606706942715</v>
      </c>
      <c r="G23" s="333" t="str">
        <f>IF(OR(D23=0,D23="%"),"%",_xlfn.CONCAT(ROUND(F23-D23,3)*100,"pt"))</f>
        <v>0pt</v>
      </c>
      <c r="H23" s="332">
        <f>F23</f>
        <v>0.38834606706942715</v>
      </c>
      <c r="I23" s="333" t="str">
        <f>IF(OR(F23=0,F23="%"),"%",_xlfn.CONCAT(ROUND(H23-F23,3)*100,"pt"))</f>
        <v>0pt</v>
      </c>
      <c r="J23" s="224">
        <f>H23</f>
        <v>0.38834606706942715</v>
      </c>
      <c r="K23" s="333" t="str">
        <f>IF(OR(H23=0,H23="%"),"%",_xlfn.CONCAT(ROUND(J23-H23,3)*100,"pt"))</f>
        <v>0pt</v>
      </c>
      <c r="L23" s="224">
        <f>J23</f>
        <v>0.38834606706942715</v>
      </c>
      <c r="M23" s="333" t="str">
        <f>IF(OR(J23=0,J23="%"),"%",_xlfn.CONCAT(ROUND(L23-J23,3)*100,"pt"))</f>
        <v>0pt</v>
      </c>
      <c r="N23" s="224">
        <f>L23</f>
        <v>0.38834606706942715</v>
      </c>
      <c r="O23" s="333" t="str">
        <f>IF(OR(L23=0,L23="%"),"%",_xlfn.CONCAT(ROUND(N23-L23,3)*100,"pt"))</f>
        <v>0pt</v>
      </c>
      <c r="P23" s="224">
        <f>N23</f>
        <v>0.38834606706942715</v>
      </c>
      <c r="Q23" s="333" t="str">
        <f>IF(OR(N23=0,N23="%"),"%",_xlfn.CONCAT(ROUND(P23-N23,3)*100,"pt"))</f>
        <v>0pt</v>
      </c>
      <c r="R23" s="334" t="str">
        <f>IF(OR(C23=0,C23="%"),"%",_xlfn.CONCAT(ROUND(P23-C23,3)*100,"pt"))</f>
        <v>0pt</v>
      </c>
      <c r="S23" s="335" t="str">
        <f>IF(OR(C23=0,C23="%"),"%",_xlfn.CONCAT(ROUND((P23-C23)/7,3)*100,"pt"))</f>
        <v>0pt</v>
      </c>
      <c r="T23" s="336"/>
    </row>
    <row r="24" spans="1:20" s="148" customFormat="1" x14ac:dyDescent="0.25">
      <c r="A24" s="246"/>
      <c r="B24" s="152" t="s">
        <v>275</v>
      </c>
      <c r="C24" s="202">
        <f>IF(C10=0,"%",(-C18*(1-C$23))/(C10))</f>
        <v>0</v>
      </c>
      <c r="D24" s="202">
        <f>IF(D10=0,"%",(-D18*(1-D$23))/(D10))</f>
        <v>0</v>
      </c>
      <c r="E24" s="221" t="str">
        <f>IF(OR(C24=0,C24="%"),"%",_xlfn.CONCAT(ROUND(D24-C24,3)*100,"pt"))</f>
        <v>%</v>
      </c>
      <c r="F24" s="202">
        <f>IF(F10=0,"%",(-F18*(1-F$23))/(F10))</f>
        <v>0</v>
      </c>
      <c r="G24" s="221" t="str">
        <f>IF(OR(D24=0,D24="%"),"%",_xlfn.CONCAT(ROUND(F24-D24,3)*100,"pt"))</f>
        <v>%</v>
      </c>
      <c r="H24" s="202">
        <f>IF(H10=0,"%",(-H18*(1-H$23))/(H10))</f>
        <v>0</v>
      </c>
      <c r="I24" s="221" t="str">
        <f>IF(OR(F24=0,F24="%"),"%",_xlfn.CONCAT(ROUND(H24-F24,3)*100,"pt"))</f>
        <v>%</v>
      </c>
      <c r="J24" s="202">
        <f>IF(J10=0,"%",(-J18*(1-J$23))/(J10))</f>
        <v>1.9499133385670431E-2</v>
      </c>
      <c r="K24" s="221" t="str">
        <f>IF(OR(H24=0,H24="%"),"%",_xlfn.CONCAT(ROUND(J24-H24,3)*100,"pt"))</f>
        <v>%</v>
      </c>
      <c r="L24" s="202">
        <f>IF(L10=0,"%",(-L18*(1-L$23))/(L10))</f>
        <v>1.6123726343626792E-2</v>
      </c>
      <c r="M24" s="221" t="str">
        <f>IF(OR(J24=0,J24="%"),"%",_xlfn.CONCAT(ROUND(L24-J24,3)*100,"pt"))</f>
        <v>-0.3pt</v>
      </c>
      <c r="N24" s="202">
        <f>IF(N10=0,"%",(-N18*(1-N$23))/(N10))</f>
        <v>1.5579453228690159E-2</v>
      </c>
      <c r="O24" s="221" t="str">
        <f>IF(OR(L24=0,L24="%"),"%",_xlfn.CONCAT(ROUND(N24-L24,3)*100,"pt"))</f>
        <v>-0.1pt</v>
      </c>
      <c r="P24" s="202">
        <f>IF(P10=0,"%",(-P18*(1-P$23))/(P10))</f>
        <v>1.5187576959374425E-2</v>
      </c>
      <c r="Q24" s="221" t="str">
        <f>IF(OR(N24=0,N24="%"),"%",_xlfn.CONCAT(ROUND(P24-N24,3)*100,"pt"))</f>
        <v>0pt</v>
      </c>
      <c r="R24" s="289" t="str">
        <f>IF(OR(C24=0,C24="%"),"%",_xlfn.CONCAT(ROUND(P24-C24,3)*100,"pt"))</f>
        <v>%</v>
      </c>
      <c r="S24" s="222" t="str">
        <f t="shared" ref="S24:S25" si="4">IF(OR(C24=0,C24="%"),"%",_xlfn.CONCAT(ROUND((P24-C24)/7,3)*100,"pt"))</f>
        <v>%</v>
      </c>
      <c r="T24" s="245"/>
    </row>
    <row r="25" spans="1:20" s="148" customFormat="1" ht="13.8" thickBot="1" x14ac:dyDescent="0.3">
      <c r="A25" s="246"/>
      <c r="B25" s="212" t="s">
        <v>276</v>
      </c>
      <c r="C25" s="190">
        <f>IF(C8=0,"%",(-C18*C$23)/C8)</f>
        <v>0</v>
      </c>
      <c r="D25" s="190">
        <f>IF(D8=0,"%",(-D18*D$23)/D8)</f>
        <v>0</v>
      </c>
      <c r="E25" s="223" t="str">
        <f>IF(OR(C25=0,C25="%"),"%",_xlfn.CONCAT(ROUND(D25-C25,3)*100,"pt"))</f>
        <v>%</v>
      </c>
      <c r="F25" s="190">
        <f>IF(F8=0,"%",(-F18*F$23)/F8)</f>
        <v>0</v>
      </c>
      <c r="G25" s="223" t="str">
        <f>IF(OR(D25=0,D25="%"),"%",_xlfn.CONCAT(ROUND(F25-D25,3)*100,"pt"))</f>
        <v>%</v>
      </c>
      <c r="H25" s="190">
        <f>IF(H8=0,"%",(-H18*H$23)/H8)</f>
        <v>0</v>
      </c>
      <c r="I25" s="223" t="str">
        <f>IF(OR(F25=0,F25="%"),"%",_xlfn.CONCAT(ROUND(H25-F25,3)*100,"pt"))</f>
        <v>%</v>
      </c>
      <c r="J25" s="190">
        <f>IF(J8=0,"%",(-J18*J$23)/J8)</f>
        <v>1.8544468622375174E-2</v>
      </c>
      <c r="K25" s="223" t="str">
        <f>IF(OR(H25=0,H25="%"),"%",_xlfn.CONCAT(ROUND(J25-H25,3)*100,"pt"))</f>
        <v>%</v>
      </c>
      <c r="L25" s="190">
        <f>IF(L8=0,"%",(-L18*L$23)/L8)</f>
        <v>1.5009369932128824E-2</v>
      </c>
      <c r="M25" s="223" t="str">
        <f>IF(OR(J25=0,J25="%"),"%",_xlfn.CONCAT(ROUND(L25-J25,3)*100,"pt"))</f>
        <v>-0.4pt</v>
      </c>
      <c r="N25" s="190">
        <f>IF(N8=0,"%",(-N18*N$23)/N8)</f>
        <v>1.4208085313672104E-2</v>
      </c>
      <c r="O25" s="223" t="str">
        <f>IF(OR(L25=0,L25="%"),"%",_xlfn.CONCAT(ROUND(N25-L25,3)*100,"pt"))</f>
        <v>-0.1pt</v>
      </c>
      <c r="P25" s="190">
        <f>IF(P8=0,"%",(-P18*P$23)/P8)</f>
        <v>1.3582814701269257E-2</v>
      </c>
      <c r="Q25" s="223" t="str">
        <f>IF(OR(N25=0,N25="%"),"%",_xlfn.CONCAT(ROUND(P25-N25,3)*100,"pt"))</f>
        <v>-0.1pt</v>
      </c>
      <c r="R25" s="290" t="str">
        <f>IF(OR(C25=0,C25="%"),"%",_xlfn.CONCAT(ROUND(P25-C25,3)*100,"pt"))</f>
        <v>%</v>
      </c>
      <c r="S25" s="278" t="str">
        <f t="shared" si="4"/>
        <v>%</v>
      </c>
      <c r="T25" s="245"/>
    </row>
    <row r="26" spans="1:20" s="148" customFormat="1" x14ac:dyDescent="0.25">
      <c r="A26" s="246"/>
      <c r="T26" s="245"/>
    </row>
    <row r="27" spans="1:20" ht="13.8" thickBot="1" x14ac:dyDescent="0.3">
      <c r="A27" s="246"/>
      <c r="B27" s="148"/>
      <c r="C27" s="148"/>
      <c r="D27" s="148"/>
      <c r="E27" s="148"/>
      <c r="F27" s="148"/>
      <c r="G27" s="148"/>
      <c r="H27" s="148"/>
      <c r="I27" s="148"/>
      <c r="J27" s="148"/>
      <c r="K27" s="148"/>
      <c r="L27" s="148"/>
      <c r="M27" s="148"/>
      <c r="N27" s="148"/>
      <c r="O27" s="148"/>
      <c r="P27" s="148"/>
      <c r="Q27" s="148"/>
      <c r="R27" s="148"/>
      <c r="S27" s="148"/>
      <c r="T27" s="245"/>
    </row>
    <row r="28" spans="1:20" x14ac:dyDescent="0.25">
      <c r="A28" s="246"/>
      <c r="B28" s="492" t="s">
        <v>277</v>
      </c>
      <c r="C28" s="227" t="s">
        <v>278</v>
      </c>
      <c r="D28" s="228">
        <v>0</v>
      </c>
      <c r="E28" s="150" t="s">
        <v>279</v>
      </c>
      <c r="F28" s="150"/>
      <c r="G28" s="150"/>
      <c r="H28" s="150"/>
      <c r="I28" s="150"/>
      <c r="J28" s="150"/>
      <c r="K28" s="150"/>
      <c r="L28" s="150"/>
      <c r="M28" s="150"/>
      <c r="N28" s="150"/>
      <c r="O28" s="150"/>
      <c r="P28" s="150"/>
      <c r="Q28" s="150"/>
      <c r="R28" s="150"/>
      <c r="S28" s="213"/>
      <c r="T28" s="245"/>
    </row>
    <row r="29" spans="1:20" x14ac:dyDescent="0.25">
      <c r="A29" s="246"/>
      <c r="B29" s="493"/>
      <c r="C29" s="195" t="s">
        <v>280</v>
      </c>
      <c r="D29" s="229">
        <v>0</v>
      </c>
      <c r="E29" s="148"/>
      <c r="F29" s="148"/>
      <c r="G29" s="148"/>
      <c r="H29" s="148"/>
      <c r="I29" s="148"/>
      <c r="J29" s="148"/>
      <c r="K29" s="148"/>
      <c r="L29" s="148"/>
      <c r="M29" s="148"/>
      <c r="N29" s="148"/>
      <c r="O29" s="148"/>
      <c r="P29" s="148"/>
      <c r="Q29" s="148"/>
      <c r="R29" s="148"/>
      <c r="S29" s="214"/>
      <c r="T29" s="245"/>
    </row>
    <row r="30" spans="1:20" x14ac:dyDescent="0.25">
      <c r="A30" s="246"/>
      <c r="B30" s="493"/>
      <c r="C30" s="195" t="s">
        <v>281</v>
      </c>
      <c r="D30" s="229">
        <v>0</v>
      </c>
      <c r="E30" s="148"/>
      <c r="F30" s="148"/>
      <c r="G30" s="148"/>
      <c r="H30" s="148"/>
      <c r="I30" s="148"/>
      <c r="J30" s="148"/>
      <c r="K30" s="148"/>
      <c r="L30" s="148"/>
      <c r="M30" s="148"/>
      <c r="N30" s="148"/>
      <c r="O30" s="148"/>
      <c r="P30" s="148"/>
      <c r="Q30" s="148"/>
      <c r="R30" s="148"/>
      <c r="S30" s="214"/>
      <c r="T30" s="245"/>
    </row>
    <row r="31" spans="1:20" ht="13.8" thickBot="1" x14ac:dyDescent="0.3">
      <c r="A31" s="246"/>
      <c r="B31" s="494"/>
      <c r="C31" s="226" t="s">
        <v>282</v>
      </c>
      <c r="D31" s="217">
        <f>SUM(D28:D30)</f>
        <v>0</v>
      </c>
      <c r="E31" s="195"/>
      <c r="F31" s="148"/>
      <c r="G31" s="148"/>
      <c r="H31" s="148"/>
      <c r="I31" s="148"/>
      <c r="J31" s="148"/>
      <c r="K31" s="148"/>
      <c r="L31" s="148"/>
      <c r="M31" s="148"/>
      <c r="N31" s="148"/>
      <c r="O31" s="148"/>
      <c r="P31" s="148"/>
      <c r="Q31" s="148"/>
      <c r="R31" s="148"/>
      <c r="S31" s="214"/>
      <c r="T31" s="245"/>
    </row>
    <row r="32" spans="1:20" ht="13.8" thickBot="1" x14ac:dyDescent="0.3">
      <c r="A32" s="246"/>
      <c r="B32" s="151"/>
      <c r="C32" s="148"/>
      <c r="D32" s="148"/>
      <c r="E32" s="148"/>
      <c r="F32" s="148"/>
      <c r="G32" s="148"/>
      <c r="H32" s="148"/>
      <c r="I32" s="148"/>
      <c r="J32" s="148"/>
      <c r="K32" s="148"/>
      <c r="L32" s="148"/>
      <c r="M32" s="148"/>
      <c r="N32" s="148"/>
      <c r="O32" s="148"/>
      <c r="P32" s="148"/>
      <c r="Q32" s="148"/>
      <c r="R32" s="148"/>
      <c r="S32" s="279"/>
      <c r="T32" s="245"/>
    </row>
    <row r="33" spans="1:20" s="342" customFormat="1" ht="39.6" x14ac:dyDescent="0.25">
      <c r="A33" s="330"/>
      <c r="B33" s="338"/>
      <c r="C33" s="339" t="s">
        <v>93</v>
      </c>
      <c r="D33" s="339" t="s">
        <v>94</v>
      </c>
      <c r="E33" s="340" t="s">
        <v>102</v>
      </c>
      <c r="F33" s="251" t="s">
        <v>171</v>
      </c>
      <c r="G33" s="340" t="s">
        <v>102</v>
      </c>
      <c r="H33" s="251" t="s">
        <v>172</v>
      </c>
      <c r="I33" s="340" t="s">
        <v>102</v>
      </c>
      <c r="J33" s="252" t="s">
        <v>173</v>
      </c>
      <c r="K33" s="340" t="s">
        <v>102</v>
      </c>
      <c r="L33" s="252" t="s">
        <v>174</v>
      </c>
      <c r="M33" s="340" t="s">
        <v>102</v>
      </c>
      <c r="N33" s="252" t="s">
        <v>175</v>
      </c>
      <c r="O33" s="340" t="s">
        <v>102</v>
      </c>
      <c r="P33" s="252" t="s">
        <v>176</v>
      </c>
      <c r="Q33" s="340" t="s">
        <v>102</v>
      </c>
      <c r="R33" s="341" t="s">
        <v>260</v>
      </c>
      <c r="S33" s="327" t="s">
        <v>261</v>
      </c>
      <c r="T33" s="336"/>
    </row>
    <row r="34" spans="1:20" x14ac:dyDescent="0.25">
      <c r="A34" s="246"/>
      <c r="B34" s="152" t="s">
        <v>283</v>
      </c>
      <c r="C34" s="191">
        <f>IF(C14=0,"%",(-C18*$D$28)/C14)</f>
        <v>0</v>
      </c>
      <c r="D34" s="191">
        <f>IF(D14=0,"%",(-D18*$D$28)/D14)</f>
        <v>0</v>
      </c>
      <c r="E34" s="221" t="str">
        <f>IF(OR(C34=0,C34="%"),"%",_xlfn.CONCAT(ROUND(D34-C34,3)*100,"pt"))</f>
        <v>%</v>
      </c>
      <c r="F34" s="191">
        <f>IF(F14=0,"%",(-F18*$D$28)/F14)</f>
        <v>0</v>
      </c>
      <c r="G34" s="221" t="str">
        <f>IF(OR(D34=0,D34="%"),"%",_xlfn.CONCAT(ROUND(F34-D34,3)*100,"pt"))</f>
        <v>%</v>
      </c>
      <c r="H34" s="191">
        <f>IF(H14=0,"%",(-H18*$D$28)/H14)</f>
        <v>0</v>
      </c>
      <c r="I34" s="221" t="str">
        <f>IF(OR(F34=0,F34="%"),"%",_xlfn.CONCAT(ROUND(H34-F34,3)*100,"pt"))</f>
        <v>%</v>
      </c>
      <c r="J34" s="191">
        <f>IF(J14=0,"%",(-J18*$D$28)/J14)</f>
        <v>0</v>
      </c>
      <c r="K34" s="221" t="str">
        <f>IF(OR(H34=0,H34="%"),"%",_xlfn.CONCAT(ROUND(J34-H34,3)*100,"pt"))</f>
        <v>%</v>
      </c>
      <c r="L34" s="191">
        <f>IF(L14=0,"%",(-L18*$D$28)/L14)</f>
        <v>0</v>
      </c>
      <c r="M34" s="221" t="str">
        <f>IF(OR(J34=0,J34="%"),"%",_xlfn.CONCAT(ROUND(L34-J34,3)*100,"pt"))</f>
        <v>%</v>
      </c>
      <c r="N34" s="191">
        <f>IF(N14=0,"%",(-N18*$D$28)/N14)</f>
        <v>0</v>
      </c>
      <c r="O34" s="221" t="str">
        <f>IF(OR(L34=0,L34="%"),"%",_xlfn.CONCAT(ROUND(N34-L34,3)*100,"pt"))</f>
        <v>%</v>
      </c>
      <c r="P34" s="191">
        <f>IF(P14=0,"%",(-P18*$D$28)/P14)</f>
        <v>0</v>
      </c>
      <c r="Q34" s="221" t="str">
        <f>IF(OR(N34=0,N34="%"),"%",_xlfn.CONCAT(ROUND(P34-N34,3)*100,"pt"))</f>
        <v>%</v>
      </c>
      <c r="R34" s="289" t="str">
        <f>IF(OR(C34=0,C34="%"),"%",_xlfn.CONCAT(ROUND(P34-C34,3)*100,"pt"))</f>
        <v>%</v>
      </c>
      <c r="S34" s="222" t="str">
        <f t="shared" ref="S34:S37" si="5">IF(OR(C34=0,C34="%"),"%",_xlfn.CONCAT(ROUND((P34-C34)/7,3)*100,"pt"))</f>
        <v>%</v>
      </c>
      <c r="T34" s="245"/>
    </row>
    <row r="35" spans="1:20" x14ac:dyDescent="0.25">
      <c r="A35" s="246"/>
      <c r="B35" s="152" t="s">
        <v>284</v>
      </c>
      <c r="C35" s="191">
        <f>IF(C10=0,"%",(-C18*$D$29)/(C10))</f>
        <v>0</v>
      </c>
      <c r="D35" s="191">
        <f>IF(D10=0,"%",(-D18*$D$29)/(D10))</f>
        <v>0</v>
      </c>
      <c r="E35" s="221" t="str">
        <f>IF(OR(C35=0,C35="%"),"%",_xlfn.CONCAT(ROUND(D35-C35,3)*100,"pt"))</f>
        <v>%</v>
      </c>
      <c r="F35" s="191">
        <f>IF(F10=0,"%",(-F18*$D$29)/(F10))</f>
        <v>0</v>
      </c>
      <c r="G35" s="221" t="str">
        <f>IF(OR(D35=0,D35="%"),"%",_xlfn.CONCAT(ROUND(F35-D35,3)*100,"pt"))</f>
        <v>%</v>
      </c>
      <c r="H35" s="191">
        <f>IF(H10=0,"%",(-H18*$D$29)/(H10))</f>
        <v>0</v>
      </c>
      <c r="I35" s="221" t="str">
        <f>IF(OR(F35=0,F35="%"),"%",_xlfn.CONCAT(ROUND(H35-F35,3)*100,"pt"))</f>
        <v>%</v>
      </c>
      <c r="J35" s="191">
        <f>IF(J10=0,"%",(-J18*$D$29)/(J10))</f>
        <v>0</v>
      </c>
      <c r="K35" s="221" t="str">
        <f>IF(OR(H35=0,H35="%"),"%",_xlfn.CONCAT(ROUND(J35-H35,3)*100,"pt"))</f>
        <v>%</v>
      </c>
      <c r="L35" s="191">
        <f>IF(L10=0,"%",(-L18*$D$29)/(L10))</f>
        <v>0</v>
      </c>
      <c r="M35" s="221" t="str">
        <f>IF(OR(J35=0,J35="%"),"%",_xlfn.CONCAT(ROUND(L35-J35,3)*100,"pt"))</f>
        <v>%</v>
      </c>
      <c r="N35" s="191">
        <f>IF(N10=0,"%",(-N18*$D$29)/(N10))</f>
        <v>0</v>
      </c>
      <c r="O35" s="221" t="str">
        <f>IF(OR(L35=0,L35="%"),"%",_xlfn.CONCAT(ROUND(N35-L35,3)*100,"pt"))</f>
        <v>%</v>
      </c>
      <c r="P35" s="191">
        <f>IF(P10=0,"%",(-P18*$D$29)/(P10))</f>
        <v>0</v>
      </c>
      <c r="Q35" s="221" t="str">
        <f>IF(OR(N35=0,N35="%"),"%",_xlfn.CONCAT(ROUND(P35-N35,3)*100,"pt"))</f>
        <v>%</v>
      </c>
      <c r="R35" s="289" t="str">
        <f>IF(OR(C35=0,C35="%"),"%",_xlfn.CONCAT(ROUND(P35-C35,3)*100,"pt"))</f>
        <v>%</v>
      </c>
      <c r="S35" s="222" t="str">
        <f t="shared" si="5"/>
        <v>%</v>
      </c>
      <c r="T35" s="245"/>
    </row>
    <row r="36" spans="1:20" x14ac:dyDescent="0.25">
      <c r="A36" s="246"/>
      <c r="B36" s="152" t="s">
        <v>276</v>
      </c>
      <c r="C36" s="191">
        <f>IF(C8=0,"%",(-C18*$D$30)/C8)</f>
        <v>0</v>
      </c>
      <c r="D36" s="191">
        <f>IF(D8=0,"%",(-D18*$D$30)/D8)</f>
        <v>0</v>
      </c>
      <c r="E36" s="221" t="str">
        <f>IF(OR(C36=0,C36="%"),"%",_xlfn.CONCAT(ROUND(D36-C36,3)*100,"pt"))</f>
        <v>%</v>
      </c>
      <c r="F36" s="191">
        <f>IF(F8=0,"%",(-F18*$D$30)/F8)</f>
        <v>0</v>
      </c>
      <c r="G36" s="221" t="str">
        <f>IF(OR(D36=0,D36="%"),"%",_xlfn.CONCAT(ROUND(F36-D36,3)*100,"pt"))</f>
        <v>%</v>
      </c>
      <c r="H36" s="191">
        <f>IF(H8=0,"%",(-H18*$D$30)/H8)</f>
        <v>0</v>
      </c>
      <c r="I36" s="221" t="str">
        <f>IF(OR(F36=0,F36="%"),"%",_xlfn.CONCAT(ROUND(H36-F36,3)*100,"pt"))</f>
        <v>%</v>
      </c>
      <c r="J36" s="191">
        <f>IF(J8=0,"%",(-J18*$D$30)/J8)</f>
        <v>0</v>
      </c>
      <c r="K36" s="221" t="str">
        <f>IF(OR(H36=0,H36="%"),"%",_xlfn.CONCAT(ROUND(J36-H36,3)*100,"pt"))</f>
        <v>%</v>
      </c>
      <c r="L36" s="191">
        <f>IF(L8=0,"%",(-L18*$D$30)/L8)</f>
        <v>0</v>
      </c>
      <c r="M36" s="221" t="str">
        <f>IF(OR(J36=0,J36="%"),"%",_xlfn.CONCAT(ROUND(L36-J36,3)*100,"pt"))</f>
        <v>%</v>
      </c>
      <c r="N36" s="191">
        <f>IF(N8=0,"%",(-N18*$D$30)/N8)</f>
        <v>0</v>
      </c>
      <c r="O36" s="221" t="str">
        <f>IF(OR(L36=0,L36="%"),"%",_xlfn.CONCAT(ROUND(N36-L36,3)*100,"pt"))</f>
        <v>%</v>
      </c>
      <c r="P36" s="191">
        <f>IF(P8=0,"%",(-P18*$D$30)/P8)</f>
        <v>0</v>
      </c>
      <c r="Q36" s="221" t="str">
        <f>IF(OR(N36=0,N36="%"),"%",_xlfn.CONCAT(ROUND(P36-N36,3)*100,"pt"))</f>
        <v>%</v>
      </c>
      <c r="R36" s="289" t="str">
        <f>IF(OR(C36=0,C36="%"),"%",_xlfn.CONCAT(ROUND(P36-C36,3)*100,"pt"))</f>
        <v>%</v>
      </c>
      <c r="S36" s="222" t="str">
        <f t="shared" si="5"/>
        <v>%</v>
      </c>
      <c r="T36" s="245"/>
    </row>
    <row r="37" spans="1:20" ht="13.8" thickBot="1" x14ac:dyDescent="0.3">
      <c r="A37" s="246"/>
      <c r="B37" s="215" t="s">
        <v>267</v>
      </c>
      <c r="C37" s="216">
        <f>IF(C8=0,"%",((1+C36)*C8)/(((1+C35)*C10)+((1+C36)*C8)))</f>
        <v>0.38834606706942715</v>
      </c>
      <c r="D37" s="216">
        <f>IF(D8=0,"%",((1+D36)*D8)/(((1+D35)*D10)+((1+D36)*D8)))</f>
        <v>0.40002628768056697</v>
      </c>
      <c r="E37" s="223" t="str">
        <f>IF(OR(C37=0,C37="%"),"%",_xlfn.CONCAT(ROUND(D37-C37,3)*100,"pt"))</f>
        <v>1.2pt</v>
      </c>
      <c r="F37" s="216">
        <f>IF(F8=0,"%",((1+F36)*F8)/(((1+F35)*F10)+((1+F36)*F8)))</f>
        <v>0.39793603834835589</v>
      </c>
      <c r="G37" s="223" t="str">
        <f>IF(OR(D37=0,D37="%"),"%",_xlfn.CONCAT(ROUND(F37-D37,3)*100,"pt"))</f>
        <v>-0.2pt</v>
      </c>
      <c r="H37" s="216">
        <f>IF(H8=0,"%",((1+H36)*H8)/(((1+H35)*H10)+((1+H36)*H8)))</f>
        <v>0.39480144500905834</v>
      </c>
      <c r="I37" s="223" t="str">
        <f>IF(OR(F37=0,F37="%"),"%",_xlfn.CONCAT(ROUND(H37-F37,3)*100,"pt"))</f>
        <v>-0.3pt</v>
      </c>
      <c r="J37" s="216">
        <f>IF(J8=0,"%",((1+J36)*J8)/(((1+J35)*J10)+((1+J36)*J8)))</f>
        <v>0.40033455565745596</v>
      </c>
      <c r="K37" s="223" t="str">
        <f>IF(OR(H37=0,H37="%"),"%",_xlfn.CONCAT(ROUND(J37-H37,3)*100,"pt"))</f>
        <v>0.6pt</v>
      </c>
      <c r="L37" s="216">
        <f>IF(L8=0,"%",((1+L36)*L8)/(((1+L35)*L10)+((1+L36)*L8)))</f>
        <v>0.40548728640539505</v>
      </c>
      <c r="M37" s="223" t="str">
        <f>IF(OR(J37=0,J37="%"),"%",_xlfn.CONCAT(ROUND(L37-J37,3)*100,"pt"))</f>
        <v>0.5pt</v>
      </c>
      <c r="N37" s="216">
        <f>IF(N8=0,"%",((1+N36)*N8)/(((1+N35)*N10)+((1+N36)*N8)))</f>
        <v>0.41044452732243208</v>
      </c>
      <c r="O37" s="223" t="str">
        <f>IF(OR(L37=0,L37="%"),"%",_xlfn.CONCAT(ROUND(N37-L37,3)*100,"pt"))</f>
        <v>0.5pt</v>
      </c>
      <c r="P37" s="216">
        <f>IF(P8=0,"%",((1+P36)*P8)/(((1+P35)*P10)+((1+P36)*P8)))</f>
        <v>0.41517868400663938</v>
      </c>
      <c r="Q37" s="223" t="str">
        <f>IF(OR(N37=0,N37="%"),"%",_xlfn.CONCAT(ROUND(P37-N37,3)*100,"pt"))</f>
        <v>0.5pt</v>
      </c>
      <c r="R37" s="290" t="str">
        <f>IF(OR(C37=0,C37="%"),"%",_xlfn.CONCAT(ROUND(P37-C37,3)*100,"pt"))</f>
        <v>2.7pt</v>
      </c>
      <c r="S37" s="278" t="str">
        <f t="shared" si="5"/>
        <v>0.4pt</v>
      </c>
      <c r="T37" s="245"/>
    </row>
    <row r="38" spans="1:20" x14ac:dyDescent="0.25">
      <c r="A38" s="246"/>
      <c r="B38" s="148"/>
      <c r="C38" s="148"/>
      <c r="D38" s="148"/>
      <c r="E38" s="148"/>
      <c r="F38" s="148"/>
      <c r="G38" s="148"/>
      <c r="H38" s="148"/>
      <c r="I38" s="148"/>
      <c r="J38" s="148"/>
      <c r="K38" s="148"/>
      <c r="L38" s="148"/>
      <c r="M38" s="148"/>
      <c r="N38" s="148"/>
      <c r="O38" s="148"/>
      <c r="P38" s="148"/>
      <c r="Q38" s="148"/>
      <c r="R38" s="148"/>
      <c r="S38" s="148"/>
      <c r="T38" s="245"/>
    </row>
    <row r="39" spans="1:20" x14ac:dyDescent="0.25">
      <c r="A39" s="246"/>
      <c r="B39" s="148"/>
      <c r="C39" s="148"/>
      <c r="D39" s="148"/>
      <c r="E39" s="148"/>
      <c r="F39" s="148"/>
      <c r="G39" s="148"/>
      <c r="H39" s="148"/>
      <c r="I39" s="148"/>
      <c r="J39" s="148"/>
      <c r="K39" s="148"/>
      <c r="L39" s="148"/>
      <c r="M39" s="148"/>
      <c r="N39" s="148"/>
      <c r="O39" s="148"/>
      <c r="P39" s="148"/>
      <c r="Q39" s="148"/>
      <c r="R39" s="148"/>
      <c r="S39" s="148"/>
      <c r="T39" s="245"/>
    </row>
    <row r="40" spans="1:20" x14ac:dyDescent="0.25">
      <c r="A40" s="247"/>
      <c r="B40" s="149"/>
      <c r="C40" s="149"/>
      <c r="D40" s="149"/>
      <c r="E40" s="149"/>
      <c r="F40" s="149"/>
      <c r="G40" s="149"/>
      <c r="H40" s="149"/>
      <c r="I40" s="149"/>
      <c r="J40" s="149"/>
      <c r="K40" s="149"/>
      <c r="L40" s="149"/>
      <c r="M40" s="149"/>
      <c r="N40" s="149"/>
      <c r="O40" s="149"/>
      <c r="P40" s="149"/>
      <c r="Q40" s="149"/>
      <c r="R40" s="149"/>
      <c r="S40" s="149"/>
      <c r="T40" s="248"/>
    </row>
  </sheetData>
  <mergeCells count="4">
    <mergeCell ref="B28:B31"/>
    <mergeCell ref="A2:G2"/>
    <mergeCell ref="R6:S6"/>
    <mergeCell ref="A3:S4"/>
  </mergeCells>
  <pageMargins left="0.2" right="0.2" top="0.25" bottom="0.25" header="0.3" footer="0.3"/>
  <pageSetup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
  <sheetViews>
    <sheetView zoomScale="85" zoomScaleNormal="85" workbookViewId="0">
      <selection activeCell="H20" sqref="H20"/>
    </sheetView>
  </sheetViews>
  <sheetFormatPr defaultColWidth="9.33203125" defaultRowHeight="13.2" x14ac:dyDescent="0.25"/>
  <cols>
    <col min="1" max="1" width="9.33203125" style="1"/>
    <col min="2" max="2" width="50.5546875" style="1" customWidth="1"/>
    <col min="3" max="3" width="40" style="1" customWidth="1"/>
    <col min="4" max="4" width="18.5546875" style="1" customWidth="1"/>
    <col min="5" max="5" width="15.44140625" style="1" customWidth="1"/>
    <col min="6" max="6" width="18.5546875" style="1" customWidth="1"/>
    <col min="7" max="7" width="16.44140625" style="1" customWidth="1"/>
    <col min="8" max="8" width="73.33203125" style="1" customWidth="1"/>
    <col min="9" max="9" width="48.88671875" style="1" customWidth="1"/>
    <col min="10" max="10" width="48.5546875" style="1" customWidth="1"/>
    <col min="11" max="16384" width="9.33203125" style="1"/>
  </cols>
  <sheetData>
    <row r="1" spans="1:10" ht="20.100000000000001" customHeight="1" x14ac:dyDescent="0.25">
      <c r="A1" s="49" t="s">
        <v>285</v>
      </c>
      <c r="B1" s="49"/>
      <c r="C1" s="49"/>
      <c r="D1" s="49"/>
      <c r="E1" s="49"/>
      <c r="F1" s="49"/>
      <c r="G1" s="49"/>
    </row>
    <row r="2" spans="1:10" ht="20.100000000000001" customHeight="1" x14ac:dyDescent="0.25">
      <c r="A2" s="505" t="str">
        <f>'Institution ID'!C3</f>
        <v>James Madison University</v>
      </c>
      <c r="B2" s="505"/>
      <c r="C2" s="505"/>
      <c r="D2" s="505"/>
      <c r="E2" s="505"/>
      <c r="F2" s="505"/>
      <c r="G2" s="505"/>
    </row>
    <row r="3" spans="1:10" s="6" customFormat="1" ht="30" customHeight="1" x14ac:dyDescent="0.25">
      <c r="A3" s="498" t="s">
        <v>27</v>
      </c>
      <c r="B3" s="498"/>
      <c r="C3" s="498"/>
      <c r="D3" s="498"/>
      <c r="E3" s="498"/>
      <c r="F3" s="498"/>
      <c r="G3" s="498"/>
      <c r="H3" s="498"/>
    </row>
    <row r="4" spans="1:10" s="6" customFormat="1" ht="114" customHeight="1" thickBot="1" x14ac:dyDescent="0.3">
      <c r="A4" s="513"/>
      <c r="B4" s="513"/>
      <c r="C4" s="513"/>
      <c r="D4" s="513"/>
      <c r="E4" s="513"/>
      <c r="F4" s="513"/>
      <c r="G4" s="513"/>
      <c r="H4" s="513"/>
    </row>
    <row r="5" spans="1:10" s="3" customFormat="1" ht="20.100000000000001" customHeight="1" thickBot="1" x14ac:dyDescent="0.3">
      <c r="A5" s="506" t="s">
        <v>286</v>
      </c>
      <c r="B5" s="500" t="s">
        <v>287</v>
      </c>
      <c r="C5" s="501"/>
      <c r="D5" s="501"/>
      <c r="E5" s="501"/>
      <c r="F5" s="501"/>
      <c r="G5" s="501"/>
      <c r="H5" s="502" t="s">
        <v>288</v>
      </c>
    </row>
    <row r="6" spans="1:10" s="3" customFormat="1" ht="20.100000000000001" customHeight="1" thickBot="1" x14ac:dyDescent="0.3">
      <c r="A6" s="507"/>
      <c r="B6" s="44"/>
      <c r="C6" s="316"/>
      <c r="D6" s="500" t="s">
        <v>289</v>
      </c>
      <c r="E6" s="501"/>
      <c r="F6" s="501"/>
      <c r="G6" s="501"/>
      <c r="H6" s="503"/>
    </row>
    <row r="7" spans="1:10" s="3" customFormat="1" ht="20.100000000000001" customHeight="1" thickBot="1" x14ac:dyDescent="0.3">
      <c r="A7" s="507"/>
      <c r="B7" s="502" t="s">
        <v>290</v>
      </c>
      <c r="C7" s="510" t="s">
        <v>291</v>
      </c>
      <c r="D7" s="501"/>
      <c r="E7" s="501"/>
      <c r="F7" s="501"/>
      <c r="G7" s="501"/>
      <c r="H7" s="503"/>
    </row>
    <row r="8" spans="1:10" s="3" customFormat="1" ht="20.100000000000001" customHeight="1" thickBot="1" x14ac:dyDescent="0.3">
      <c r="A8" s="507"/>
      <c r="B8" s="503"/>
      <c r="C8" s="511"/>
      <c r="D8" s="500" t="s">
        <v>171</v>
      </c>
      <c r="E8" s="501"/>
      <c r="F8" s="504" t="s">
        <v>172</v>
      </c>
      <c r="G8" s="501"/>
      <c r="H8" s="503"/>
    </row>
    <row r="9" spans="1:10" s="3" customFormat="1" ht="42" customHeight="1" thickBot="1" x14ac:dyDescent="0.3">
      <c r="A9" s="508"/>
      <c r="B9" s="509"/>
      <c r="C9" s="512"/>
      <c r="D9" s="50" t="s">
        <v>179</v>
      </c>
      <c r="E9" s="51" t="s">
        <v>292</v>
      </c>
      <c r="F9" s="52" t="s">
        <v>179</v>
      </c>
      <c r="G9" s="51" t="s">
        <v>292</v>
      </c>
      <c r="H9" s="503"/>
    </row>
    <row r="10" spans="1:10" ht="41.25" customHeight="1" thickTop="1" thickBot="1" x14ac:dyDescent="0.3">
      <c r="A10" s="42">
        <v>1</v>
      </c>
      <c r="B10" s="383" t="s">
        <v>293</v>
      </c>
      <c r="C10" s="378" t="s">
        <v>294</v>
      </c>
      <c r="D10" s="376">
        <v>5332593</v>
      </c>
      <c r="E10" s="376">
        <v>5332593</v>
      </c>
      <c r="F10" s="376">
        <v>6770812</v>
      </c>
      <c r="G10" s="376">
        <v>6770812</v>
      </c>
      <c r="H10" s="417" t="s">
        <v>295</v>
      </c>
    </row>
    <row r="11" spans="1:10" ht="36" customHeight="1" thickTop="1" thickBot="1" x14ac:dyDescent="0.3">
      <c r="A11" s="42">
        <v>2</v>
      </c>
      <c r="B11" s="384" t="s">
        <v>402</v>
      </c>
      <c r="C11" s="379" t="s">
        <v>296</v>
      </c>
      <c r="D11" s="46">
        <v>0</v>
      </c>
      <c r="E11" s="46">
        <v>0</v>
      </c>
      <c r="F11" s="46">
        <v>380057</v>
      </c>
      <c r="G11" s="46">
        <v>380057</v>
      </c>
      <c r="H11" s="417" t="s">
        <v>297</v>
      </c>
    </row>
    <row r="12" spans="1:10" ht="35.25" customHeight="1" thickTop="1" thickBot="1" x14ac:dyDescent="0.3">
      <c r="A12" s="42">
        <v>3</v>
      </c>
      <c r="B12" s="384" t="s">
        <v>298</v>
      </c>
      <c r="C12" s="379" t="s">
        <v>299</v>
      </c>
      <c r="D12" s="377">
        <v>500000</v>
      </c>
      <c r="E12" s="377">
        <v>500000</v>
      </c>
      <c r="F12" s="377">
        <v>750000</v>
      </c>
      <c r="G12" s="377">
        <v>750000</v>
      </c>
      <c r="H12" s="417" t="s">
        <v>403</v>
      </c>
    </row>
    <row r="13" spans="1:10" ht="56.4" customHeight="1" thickTop="1" thickBot="1" x14ac:dyDescent="0.3">
      <c r="A13" s="42">
        <v>4</v>
      </c>
      <c r="B13" s="384" t="s">
        <v>300</v>
      </c>
      <c r="C13" s="380" t="s">
        <v>301</v>
      </c>
      <c r="D13" s="46">
        <v>1280000</v>
      </c>
      <c r="E13" s="46">
        <v>1280000</v>
      </c>
      <c r="F13" s="46">
        <v>1280000</v>
      </c>
      <c r="G13" s="46">
        <v>1280000</v>
      </c>
      <c r="H13" s="417" t="s">
        <v>412</v>
      </c>
    </row>
    <row r="14" spans="1:10" ht="46.5" customHeight="1" thickTop="1" thickBot="1" x14ac:dyDescent="0.3">
      <c r="A14" s="42">
        <v>5</v>
      </c>
      <c r="B14" s="384" t="s">
        <v>302</v>
      </c>
      <c r="C14" s="380" t="s">
        <v>303</v>
      </c>
      <c r="D14" s="46">
        <v>997816</v>
      </c>
      <c r="E14" s="46">
        <v>997816</v>
      </c>
      <c r="F14" s="46">
        <v>997816</v>
      </c>
      <c r="G14" s="46">
        <v>997816</v>
      </c>
      <c r="H14" s="417" t="s">
        <v>304</v>
      </c>
    </row>
    <row r="15" spans="1:10" ht="61.8" customHeight="1" thickTop="1" thickBot="1" x14ac:dyDescent="0.3">
      <c r="A15" s="42">
        <v>6</v>
      </c>
      <c r="B15" s="384" t="s">
        <v>305</v>
      </c>
      <c r="C15" s="380" t="s">
        <v>303</v>
      </c>
      <c r="D15" s="377">
        <v>1169886</v>
      </c>
      <c r="E15" s="377">
        <v>1169886</v>
      </c>
      <c r="F15" s="377">
        <v>1337181</v>
      </c>
      <c r="G15" s="377">
        <v>1337181</v>
      </c>
      <c r="H15" s="417" t="s">
        <v>413</v>
      </c>
    </row>
    <row r="16" spans="1:10" ht="60.9" customHeight="1" thickTop="1" thickBot="1" x14ac:dyDescent="0.3">
      <c r="A16" s="413">
        <v>7</v>
      </c>
      <c r="B16" s="384" t="s">
        <v>306</v>
      </c>
      <c r="C16" s="414" t="s">
        <v>303</v>
      </c>
      <c r="D16" s="415">
        <v>1056000</v>
      </c>
      <c r="E16" s="415">
        <v>1056000</v>
      </c>
      <c r="F16" s="415">
        <v>1056000</v>
      </c>
      <c r="G16" s="415">
        <v>1056000</v>
      </c>
      <c r="H16" s="417" t="s">
        <v>409</v>
      </c>
      <c r="I16" s="416"/>
      <c r="J16" s="416"/>
    </row>
    <row r="17" spans="1:8" ht="68.400000000000006" customHeight="1" thickTop="1" thickBot="1" x14ac:dyDescent="0.3">
      <c r="A17" s="42">
        <v>8</v>
      </c>
      <c r="B17" s="384" t="s">
        <v>404</v>
      </c>
      <c r="C17" s="380" t="s">
        <v>303</v>
      </c>
      <c r="D17" s="46">
        <v>1267776</v>
      </c>
      <c r="E17" s="46">
        <v>1267776</v>
      </c>
      <c r="F17" s="46">
        <v>1267776</v>
      </c>
      <c r="G17" s="46">
        <v>1267776</v>
      </c>
      <c r="H17" s="417" t="s">
        <v>405</v>
      </c>
    </row>
    <row r="18" spans="1:8" ht="69" customHeight="1" thickTop="1" thickBot="1" x14ac:dyDescent="0.3">
      <c r="A18" s="42">
        <v>9</v>
      </c>
      <c r="B18" s="384" t="s">
        <v>307</v>
      </c>
      <c r="C18" s="380" t="s">
        <v>308</v>
      </c>
      <c r="D18" s="46">
        <v>303024</v>
      </c>
      <c r="E18" s="46">
        <v>303024</v>
      </c>
      <c r="F18" s="46">
        <v>303024</v>
      </c>
      <c r="G18" s="46">
        <v>303024</v>
      </c>
      <c r="H18" s="417" t="s">
        <v>406</v>
      </c>
    </row>
    <row r="19" spans="1:8" ht="54.75" customHeight="1" thickTop="1" thickBot="1" x14ac:dyDescent="0.3">
      <c r="A19" s="42">
        <v>10</v>
      </c>
      <c r="B19" s="385" t="s">
        <v>218</v>
      </c>
      <c r="C19" s="381" t="s">
        <v>309</v>
      </c>
      <c r="D19" s="375"/>
      <c r="E19" s="375"/>
      <c r="F19" s="375">
        <v>615786</v>
      </c>
      <c r="G19" s="375">
        <v>316514</v>
      </c>
      <c r="H19" s="417" t="s">
        <v>407</v>
      </c>
    </row>
    <row r="20" spans="1:8" ht="42.75" customHeight="1" thickTop="1" thickBot="1" x14ac:dyDescent="0.3">
      <c r="A20" s="43">
        <v>11</v>
      </c>
      <c r="B20" s="386" t="s">
        <v>310</v>
      </c>
      <c r="C20" s="382" t="s">
        <v>311</v>
      </c>
      <c r="D20" s="46">
        <v>609840</v>
      </c>
      <c r="E20" s="46">
        <v>609840</v>
      </c>
      <c r="F20" s="46">
        <v>609840</v>
      </c>
      <c r="G20" s="46">
        <v>609840</v>
      </c>
      <c r="H20" s="417" t="s">
        <v>408</v>
      </c>
    </row>
    <row r="21" spans="1:8" ht="15.6" thickTop="1" x14ac:dyDescent="0.25">
      <c r="A21" s="100"/>
      <c r="B21" s="100"/>
      <c r="C21" s="374"/>
      <c r="D21" s="373">
        <f>SUM(D10:D20)</f>
        <v>12516935</v>
      </c>
      <c r="E21" s="372">
        <f>SUM(E10:E20)</f>
        <v>12516935</v>
      </c>
      <c r="F21" s="373">
        <f>SUM(F10:F20)</f>
        <v>15368292</v>
      </c>
      <c r="G21" s="45">
        <f>SUM(G10:G20)</f>
        <v>15069020</v>
      </c>
      <c r="H21" s="100"/>
    </row>
    <row r="22" spans="1:8" x14ac:dyDescent="0.25">
      <c r="B22" s="499"/>
      <c r="C22" s="499"/>
      <c r="D22" s="499"/>
      <c r="E22" s="499"/>
    </row>
  </sheetData>
  <mergeCells count="12">
    <mergeCell ref="B22:E22"/>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paperSize="3" scale="84"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6C806D9-A5D2-4599-8644-362BAA128E8F}">
          <x14:formula1>
            <xm:f>'GF Request Categories'!$A$2:$A$16</xm:f>
          </x14:formula1>
          <xm:sqref>C10 C13:C19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9470D3D3-9B5A-4F82-8456-888640129770}"/>
</file>

<file path=customXml/itemProps3.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Stamp, Diane - stampdl</cp:lastModifiedBy>
  <cp:revision/>
  <cp:lastPrinted>2023-07-17T10:27:40Z</cp:lastPrinted>
  <dcterms:created xsi:type="dcterms:W3CDTF">2011-02-22T14:15:27Z</dcterms:created>
  <dcterms:modified xsi:type="dcterms:W3CDTF">2023-10-06T20:12:24Z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209500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