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M:\mydata\Budget\6YP\FY24 6YP submission 7.17.23\"/>
    </mc:Choice>
  </mc:AlternateContent>
  <xr:revisionPtr revIDLastSave="13" documentId="13_ncr:1_{1E904410-D298-4E50-BA8F-9AC1CC640FF5}" xr6:coauthVersionLast="47" xr6:coauthVersionMax="47" xr10:uidLastSave="{14FE19F2-63B2-4107-BD84-06FE13DE70AF}"/>
  <bookViews>
    <workbookView xWindow="0" yWindow="0" windowWidth="25600" windowHeight="10530" tabRatio="659" firstSheet="7" activeTab="7" xr2:uid="{16DDCA05-EE6A-40AA-8F26-31ACE99AEF6F}"/>
  </bookViews>
  <sheets>
    <sheet name="Instruction" sheetId="1" r:id="rId1"/>
    <sheet name="Institution ID" sheetId="2" r:id="rId2"/>
    <sheet name="1-UG T&amp;F" sheetId="3" r:id="rId3"/>
    <sheet name="2-Revenue" sheetId="4" r:id="rId4"/>
    <sheet name="3-Financial Aid" sheetId="5" r:id="rId5"/>
    <sheet name="4-Academic-Financial" sheetId="6" r:id="rId6"/>
    <sheet name="5-Six-Year Pro Forma" sheetId="9" r:id="rId7"/>
    <sheet name=" 6-GF Request" sheetId="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4" localSheetId="7">#REF!</definedName>
    <definedName name="\4">#REF!</definedName>
    <definedName name="\A" localSheetId="7">#REF!</definedName>
    <definedName name="\A">#REF!</definedName>
    <definedName name="\B" localSheetId="7">#REF!</definedName>
    <definedName name="\B">#REF!</definedName>
    <definedName name="\C" localSheetId="7">#REF!</definedName>
    <definedName name="\C">#REF!</definedName>
    <definedName name="\D" localSheetId="7">#REF!</definedName>
    <definedName name="\D">#REF!</definedName>
    <definedName name="\E" localSheetId="7">#REF!</definedName>
    <definedName name="\E">#REF!</definedName>
    <definedName name="\F" localSheetId="7">#REF!</definedName>
    <definedName name="\F">#REF!</definedName>
    <definedName name="\J" localSheetId="7">#REF!</definedName>
    <definedName name="\J">#REF!</definedName>
    <definedName name="\M" localSheetId="7">#REF!</definedName>
    <definedName name="\M">#REF!</definedName>
    <definedName name="\N" localSheetId="7">#REF!</definedName>
    <definedName name="\N">#REF!</definedName>
    <definedName name="\O" localSheetId="7">#REF!</definedName>
    <definedName name="\O">#REF!</definedName>
    <definedName name="\P" localSheetId="7">#REF!</definedName>
    <definedName name="\P">#REF!</definedName>
    <definedName name="\Q" localSheetId="7">#REF!</definedName>
    <definedName name="\Q">#REF!</definedName>
    <definedName name="\S" localSheetId="7">#REF!</definedName>
    <definedName name="\S">#REF!</definedName>
    <definedName name="\T" localSheetId="7">#REF!</definedName>
    <definedName name="\T">#REF!</definedName>
    <definedName name="\X" localSheetId="7">#REF!</definedName>
    <definedName name="\X">#REF!</definedName>
    <definedName name="\Z" localSheetId="7">#REF!</definedName>
    <definedName name="\Z">#REF!</definedName>
    <definedName name="_____________key3" localSheetId="7" hidden="1">#REF!</definedName>
    <definedName name="_____________key3" localSheetId="5" hidden="1">#REF!</definedName>
    <definedName name="_____________key3" hidden="1">#REF!</definedName>
    <definedName name="____________key3" localSheetId="7" hidden="1">#REF!</definedName>
    <definedName name="____________key3" localSheetId="5" hidden="1">#REF!</definedName>
    <definedName name="____________key3" hidden="1">#REF!</definedName>
    <definedName name="___________key3" localSheetId="7" hidden="1">#REF!</definedName>
    <definedName name="___________key3" localSheetId="5" hidden="1">#REF!</definedName>
    <definedName name="___________key3" hidden="1">#REF!</definedName>
    <definedName name="__________key3" localSheetId="7" hidden="1">#REF!</definedName>
    <definedName name="__________key3" localSheetId="5" hidden="1">#REF!</definedName>
    <definedName name="__________key3" hidden="1">#REF!</definedName>
    <definedName name="_________key3" localSheetId="7" hidden="1">#REF!</definedName>
    <definedName name="_________key3" localSheetId="5" hidden="1">#REF!</definedName>
    <definedName name="_________key3" hidden="1">#REF!</definedName>
    <definedName name="________key3" localSheetId="7" hidden="1">#REF!</definedName>
    <definedName name="________key3" localSheetId="5" hidden="1">#REF!</definedName>
    <definedName name="________key3" hidden="1">#REF!</definedName>
    <definedName name="_______key3" localSheetId="7" hidden="1">#REF!</definedName>
    <definedName name="_______key3" localSheetId="5" hidden="1">#REF!</definedName>
    <definedName name="_______key3" hidden="1">#REF!</definedName>
    <definedName name="______key3" localSheetId="7" hidden="1">#REF!</definedName>
    <definedName name="______key3" localSheetId="5" hidden="1">#REF!</definedName>
    <definedName name="______key3" hidden="1">#REF!</definedName>
    <definedName name="_____key3" localSheetId="7" hidden="1">#REF!</definedName>
    <definedName name="_____key3" localSheetId="5" hidden="1">#REF!</definedName>
    <definedName name="_____key3" hidden="1">#REF!</definedName>
    <definedName name="____key3" localSheetId="7" hidden="1">#REF!</definedName>
    <definedName name="____key3" localSheetId="5" hidden="1">#REF!</definedName>
    <definedName name="____key3" hidden="1">#REF!</definedName>
    <definedName name="___key3" localSheetId="7" hidden="1">#REF!</definedName>
    <definedName name="___key3" localSheetId="5" hidden="1">#REF!</definedName>
    <definedName name="___key3" hidden="1">#REF!</definedName>
    <definedName name="__key3" localSheetId="7" hidden="1">#REF!</definedName>
    <definedName name="__key3" localSheetId="5" hidden="1">#REF!</definedName>
    <definedName name="__key3" hidden="1">#REF!</definedName>
    <definedName name="_56F9DC9755BA473782653E2940F9FormId">"VXKFnlffR0ygwAVGRgOAy4f5BfoCUqFEmNuXcAyj8RlUOFNHQUNIWEJEVkRaRkVMSExYRjI0N0pNNSQlQCN0PWcu"</definedName>
    <definedName name="_56F9DC9755BA473782653E2940F9ResponseSheet">"Form1"</definedName>
    <definedName name="_56F9DC9755BA473782653E2940F9SourceDocId">"{1951cbec-75ee-450a-9c9f-56c04cea382b}"</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128</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7" hidden="1">#REF!</definedName>
    <definedName name="_Fill" localSheetId="5" hidden="1">#REF!</definedName>
    <definedName name="_Fill" hidden="1">#REF!</definedName>
    <definedName name="_xlnm._FilterDatabase" hidden="1">#N/A</definedName>
    <definedName name="_Key1" localSheetId="7" hidden="1">'[1]2004 Fall Dtl'!#REF!</definedName>
    <definedName name="_Key1" localSheetId="5" hidden="1">'[1]2004 Fall Dtl'!#REF!</definedName>
    <definedName name="_Key1" hidden="1">'[1]2004 Fall Dtl'!#REF!</definedName>
    <definedName name="_Key2" localSheetId="7" hidden="1">#REF!</definedName>
    <definedName name="_Key2" localSheetId="5" hidden="1">#REF!</definedName>
    <definedName name="_Key2" hidden="1">#REF!</definedName>
    <definedName name="_key3" localSheetId="7" hidden="1">#REF!</definedName>
    <definedName name="_key3" localSheetId="5" hidden="1">#REF!</definedName>
    <definedName name="_key3" hidden="1">#REF!</definedName>
    <definedName name="_Order1" hidden="1">0</definedName>
    <definedName name="_Order2" hidden="1">255</definedName>
    <definedName name="_Sort" localSheetId="7" hidden="1">#REF!</definedName>
    <definedName name="_Sort" localSheetId="5" hidden="1">#REF!</definedName>
    <definedName name="_Sort" hidden="1">#REF!</definedName>
    <definedName name="a" localSheetId="7" hidden="1">{#N/A,#N/A,FALSE,"FRC";#N/A,#N/A,FALSE,"ExecS";#N/A,#N/A,FALSE,"Summary CF";#N/A,#N/A,FALSE,"Detail CF";#N/A,#N/A,FALSE,"CF Assum";#N/A,#N/A,FALSE,"M Summary CF";#N/A,#N/A,FALSE,"M Detail CF";#N/A,#N/A,FALSE,"OSR";#N/A,#N/A,FALSE,"CTSR";#N/A,#N/A,FALSE,"RTSR";#N/A,#N/A,FALSE,"T Revenue";#N/A,#N/A,FALSE,"RP Trans";#N/A,#N/A,FALSE,"RE Taxes";#N/A,#N/A,FALSE,"S &amp; W";#N/A,#N/A,FALSE,"Cap X";#N/A,#N/A,FALSE,"P Bldg Improv"}</definedName>
    <definedName name="a" hidden="1">{#N/A,#N/A,FALSE,"FRC";#N/A,#N/A,FALSE,"ExecS";#N/A,#N/A,FALSE,"Summary CF";#N/A,#N/A,FALSE,"Detail CF";#N/A,#N/A,FALSE,"CF Assum";#N/A,#N/A,FALSE,"M Summary CF";#N/A,#N/A,FALSE,"M Detail CF";#N/A,#N/A,FALSE,"OSR";#N/A,#N/A,FALSE,"CTSR";#N/A,#N/A,FALSE,"RTSR";#N/A,#N/A,FALSE,"T Revenue";#N/A,#N/A,FALSE,"RP Trans";#N/A,#N/A,FALSE,"RE Taxes";#N/A,#N/A,FALSE,"S &amp; W";#N/A,#N/A,FALSE,"Cap X";#N/A,#N/A,FALSE,"P Bldg Improv"}</definedName>
    <definedName name="AAMORT" localSheetId="7">#REF!</definedName>
    <definedName name="AAMORT">#REF!</definedName>
    <definedName name="AccessDatabase" hidden="1">"C:\My Documents\Fee Schedule\Master Fee Schedule\11_30_00 nh1.mdb"</definedName>
    <definedName name="Accounts">'[2]Chart of Accounts'!$A$1:$C$160</definedName>
    <definedName name="ADMIN" localSheetId="7">#REF!</definedName>
    <definedName name="ADMIN">#REF!</definedName>
    <definedName name="AdminHeader" localSheetId="7">#REF!</definedName>
    <definedName name="AdminHeader">#REF!</definedName>
    <definedName name="AdminPrint_Area" localSheetId="7">#REF!</definedName>
    <definedName name="AdminPrint_Area">#REF!</definedName>
    <definedName name="ADV" localSheetId="7">#REF!</definedName>
    <definedName name="ADV">#REF!</definedName>
    <definedName name="Advance" localSheetId="7">#REF!</definedName>
    <definedName name="Advance">#REF!</definedName>
    <definedName name="AMORT" localSheetId="7">#REF!</definedName>
    <definedName name="AMORT">#REF!</definedName>
    <definedName name="ASD" localSheetId="7">#REF!</definedName>
    <definedName name="ASD">#REF!</definedName>
    <definedName name="BaseRentHeader" localSheetId="7">#REF!</definedName>
    <definedName name="BaseRentHeader">#REF!</definedName>
    <definedName name="BaseRentPrint_Area" localSheetId="7">#REF!</definedName>
    <definedName name="BaseRentPrint_Area">#REF!</definedName>
    <definedName name="BB50_8">#N/A</definedName>
    <definedName name="BDP" localSheetId="7">#REF!</definedName>
    <definedName name="BDP">#REF!</definedName>
    <definedName name="BEACON_HALL_PRINCE_WILLIAM" localSheetId="7">[3]Fin_Exp!#REF!</definedName>
    <definedName name="BEACON_HALL_PRINCE_WILLIAM">[3]Fin_Exp!#REF!</definedName>
    <definedName name="BeginDate" localSheetId="7">#REF!,#REF!</definedName>
    <definedName name="BeginDate">#REF!,#REF!</definedName>
    <definedName name="BR" localSheetId="7">#REF!</definedName>
    <definedName name="BR">#REF!</definedName>
    <definedName name="bud_supervisor" localSheetId="7">#REF!</definedName>
    <definedName name="bud_supervisor">#REF!</definedName>
    <definedName name="BUDGT" localSheetId="7">#REF!</definedName>
    <definedName name="BUDGT">#REF!</definedName>
    <definedName name="CAMHeader" localSheetId="7">#REF!</definedName>
    <definedName name="CAMHeader">#REF!</definedName>
    <definedName name="CAMPrint_Area" localSheetId="7">#REF!</definedName>
    <definedName name="CAMPrint_Area">#REF!</definedName>
    <definedName name="Campus">[4]Tables!$F$3:$F$10</definedName>
    <definedName name="CAPITAL" localSheetId="7">#REF!</definedName>
    <definedName name="CAPITAL">#REF!</definedName>
    <definedName name="Categories" localSheetId="7">#REF!</definedName>
    <definedName name="Categories">#REF!</definedName>
    <definedName name="Category" localSheetId="7">#REF!</definedName>
    <definedName name="Category">#REF!</definedName>
    <definedName name="CD" localSheetId="7">#REF!</definedName>
    <definedName name="CD">#REF!</definedName>
    <definedName name="CEHD" localSheetId="7">#REF!</definedName>
    <definedName name="CEHD">#REF!</definedName>
    <definedName name="CENTRE" localSheetId="7">#REF!</definedName>
    <definedName name="CENTRE">#REF!</definedName>
    <definedName name="class">'[5]Project classifications FY15'!$A$2:$H$1356</definedName>
    <definedName name="Classification">[6]Tables!$F$23:$F$26</definedName>
    <definedName name="COA" localSheetId="7">#REF!</definedName>
    <definedName name="COA">#REF!</definedName>
    <definedName name="coding">'[5]Project listing'!$A$5:$H$1582</definedName>
    <definedName name="ColumnTitle2" localSheetId="7">#REF!</definedName>
    <definedName name="ColumnTitle2">#REF!</definedName>
    <definedName name="Commerce" localSheetId="7">#REF!</definedName>
    <definedName name="Commerce">#REF!</definedName>
    <definedName name="COMPANY" localSheetId="7">#REF!</definedName>
    <definedName name="COMPANY">#REF!</definedName>
    <definedName name="DATA" localSheetId="7" hidden="1">#REF!</definedName>
    <definedName name="DATA" localSheetId="5" hidden="1">#REF!</definedName>
    <definedName name="DATA" hidden="1">#REF!</definedName>
    <definedName name="DATA_01" localSheetId="7" hidden="1">#REF!</definedName>
    <definedName name="DATA_01" localSheetId="5" hidden="1">#REF!</definedName>
    <definedName name="DATA_01" hidden="1">#REF!</definedName>
    <definedName name="DATA_02" localSheetId="7" hidden="1">#REF!</definedName>
    <definedName name="DATA_02" localSheetId="5" hidden="1">#REF!</definedName>
    <definedName name="DATA_02" hidden="1">#REF!</definedName>
    <definedName name="DATA_03" localSheetId="7" hidden="1">#REF!</definedName>
    <definedName name="DATA_03" localSheetId="5" hidden="1">#REF!</definedName>
    <definedName name="DATA_03" hidden="1">#REF!</definedName>
    <definedName name="DATA_04" localSheetId="7" hidden="1">#REF!</definedName>
    <definedName name="DATA_04" localSheetId="5" hidden="1">#REF!</definedName>
    <definedName name="DATA_04" hidden="1">#REF!</definedName>
    <definedName name="DATA_05" localSheetId="7" hidden="1">#REF!</definedName>
    <definedName name="DATA_05" localSheetId="5" hidden="1">#REF!</definedName>
    <definedName name="DATA_05" hidden="1">#REF!</definedName>
    <definedName name="DATA_06" localSheetId="7" hidden="1">#REF!</definedName>
    <definedName name="DATA_06" localSheetId="5" hidden="1">#REF!</definedName>
    <definedName name="DATA_06" hidden="1">#REF!</definedName>
    <definedName name="DATA_07" localSheetId="7" hidden="1">#REF!</definedName>
    <definedName name="DATA_07" localSheetId="5" hidden="1">#REF!</definedName>
    <definedName name="DATA_07" hidden="1">#REF!</definedName>
    <definedName name="DATA_08" localSheetId="7" hidden="1">#REF!</definedName>
    <definedName name="DATA_08" localSheetId="5" hidden="1">#REF!</definedName>
    <definedName name="DATA_08" hidden="1">#REF!</definedName>
    <definedName name="DATA_10" localSheetId="7" hidden="1">#REF!</definedName>
    <definedName name="DATA_10" localSheetId="5" hidden="1">#REF!</definedName>
    <definedName name="DATA_10" hidden="1">#REF!</definedName>
    <definedName name="DATE" localSheetId="7">#REF!</definedName>
    <definedName name="DATE">#REF!</definedName>
    <definedName name="DEBT_SERVICE" localSheetId="7">[3]Fin_Exp!#REF!</definedName>
    <definedName name="DEBT_SERVICE">[3]Fin_Exp!#REF!</definedName>
    <definedName name="dec">'[7]12312012'!$A$3:$D$400</definedName>
    <definedName name="DEPR" localSheetId="7">#REF!</definedName>
    <definedName name="DEPR">#REF!</definedName>
    <definedName name="dept">[5]div!$B$2:$C$1428</definedName>
    <definedName name="dept2">[5]dept2!$B$2:$C$1467</definedName>
    <definedName name="dfr" localSheetId="7">#REF!</definedName>
    <definedName name="dfr">#REF!</definedName>
    <definedName name="discount">'[8]1062 - Summary of Discounts'!$D$7:$R$143</definedName>
    <definedName name="discount1" localSheetId="7">#REF!</definedName>
    <definedName name="discount1">#REF!</definedName>
    <definedName name="ElectricHeader" localSheetId="7">[9]Recoveries!#REF!</definedName>
    <definedName name="ElectricHeader">[9]Recoveries!#REF!</definedName>
    <definedName name="ElectricPrint_Area" localSheetId="7">[9]Recoveries!#REF!</definedName>
    <definedName name="ElectricPrint_Area">[9]Recoveries!#REF!</definedName>
    <definedName name="EndDate" localSheetId="7">#REF!,#REF!</definedName>
    <definedName name="EndDate">#REF!,#REF!</definedName>
    <definedName name="endow">'[7]06302013'!$A$3:$D$413</definedName>
    <definedName name="FreeRentHeader" localSheetId="7">#REF!</definedName>
    <definedName name="FreeRentHeader">#REF!</definedName>
    <definedName name="FreeRentPrint_Area" localSheetId="7">#REF!</definedName>
    <definedName name="FreeRentPrint_Area">#REF!</definedName>
    <definedName name="ftt" localSheetId="7" hidden="1">#REF!</definedName>
    <definedName name="ftt" localSheetId="5" hidden="1">#REF!</definedName>
    <definedName name="ftt" hidden="1">#REF!</definedName>
    <definedName name="ge" localSheetId="7" hidden="1">#REF!</definedName>
    <definedName name="ge" localSheetId="5" hidden="1">#REF!</definedName>
    <definedName name="ge" hidden="1">#REF!</definedName>
    <definedName name="General_Fund___Course_Credit_Hours" localSheetId="7">#REF!</definedName>
    <definedName name="General_Fund___Course_Credit_Hours">#REF!</definedName>
    <definedName name="General_Fund___Student_Major" localSheetId="7">#REF!</definedName>
    <definedName name="General_Fund___Student_Major">#REF!</definedName>
    <definedName name="gift">'[10]Gift bal 123115'!$A$2:$D$455</definedName>
    <definedName name="Grads" localSheetId="7">#REF!</definedName>
    <definedName name="Grads">#REF!</definedName>
    <definedName name="h" localSheetId="7" hidden="1">#REF!</definedName>
    <definedName name="h" localSheetId="5" hidden="1">#REF!</definedName>
    <definedName name="h" hidden="1">#REF!</definedName>
    <definedName name="Housekeepers" localSheetId="7">#REF!</definedName>
    <definedName name="Housekeepers">#REF!</definedName>
    <definedName name="HOUSING_SERVICES" localSheetId="7">#REF!</definedName>
    <definedName name="HOUSING_SERVICES">#REF!</definedName>
    <definedName name="HOUSING_SVCS" localSheetId="7">[3]Fin_Exp!#REF!</definedName>
    <definedName name="HOUSING_SVCS">[3]Fin_Exp!#REF!</definedName>
    <definedName name="HRL_Rev_Reconciliation" localSheetId="7">#REF!</definedName>
    <definedName name="HRL_Rev_Reconciliation">#REF!</definedName>
    <definedName name="htyt" localSheetId="7" hidden="1">{#N/A,#N/A,FALSE,"FRC";#N/A,#N/A,FALSE,"ExecS";#N/A,#N/A,FALSE,"Summary CF";#N/A,#N/A,FALSE,"Detail CF";#N/A,#N/A,FALSE,"CF Assum";#N/A,#N/A,FALSE,"M Summary CF";#N/A,#N/A,FALSE,"M Detail CF";#N/A,#N/A,FALSE,"OSR";#N/A,#N/A,FALSE,"CTSR";#N/A,#N/A,FALSE,"RTSR";#N/A,#N/A,FALSE,"T Revenue";#N/A,#N/A,FALSE,"RP Trans";#N/A,#N/A,FALSE,"RE Taxes";#N/A,#N/A,FALSE,"S &amp; W";#N/A,#N/A,FALSE,"Cap X";#N/A,#N/A,FALSE,"P Bldg Improv"}</definedName>
    <definedName name="htyt" hidden="1">{#N/A,#N/A,FALSE,"FRC";#N/A,#N/A,FALSE,"ExecS";#N/A,#N/A,FALSE,"Summary CF";#N/A,#N/A,FALSE,"Detail CF";#N/A,#N/A,FALSE,"CF Assum";#N/A,#N/A,FALSE,"M Summary CF";#N/A,#N/A,FALSE,"M Detail CF";#N/A,#N/A,FALSE,"OSR";#N/A,#N/A,FALSE,"CTSR";#N/A,#N/A,FALSE,"RTSR";#N/A,#N/A,FALSE,"T Revenue";#N/A,#N/A,FALSE,"RP Trans";#N/A,#N/A,FALSE,"RE Taxes";#N/A,#N/A,FALSE,"S &amp; W";#N/A,#N/A,FALSE,"Cap X";#N/A,#N/A,FALSE,"P Bldg Improv"}</definedName>
    <definedName name="InsuranceHeader">[9]Recoveries!#REF!</definedName>
    <definedName name="InsurancePrint_Area" localSheetId="7">#REF!</definedName>
    <definedName name="InsurancePrint_Area">#REF!</definedName>
    <definedName name="IntroPrintArea" localSheetId="7" hidden="1">#REF!</definedName>
    <definedName name="IntroPrintArea" localSheetId="5" hidden="1">#REF!</definedName>
    <definedName name="IntroPrintArea" hidden="1">#REF!</definedName>
    <definedName name="j" localSheetId="7" hidden="1">'[11]2004 Fall Dtl'!#REF!</definedName>
    <definedName name="j" localSheetId="5" hidden="1">'[11]2004 Fall Dtl'!#REF!</definedName>
    <definedName name="j" hidden="1">'[11]2004 Fall Dtl'!#REF!</definedName>
    <definedName name="Key1_" localSheetId="7" hidden="1">'[1]2004 Fall Dtl'!#REF!</definedName>
    <definedName name="Key1_" localSheetId="5" hidden="1">'[1]2004 Fall Dtl'!#REF!</definedName>
    <definedName name="Key1_" hidden="1">'[1]2004 Fall Dtl'!#REF!</definedName>
    <definedName name="LaborAccounts">'[12]Lookup Tables'!$E$1:$F$8</definedName>
    <definedName name="LEASES" localSheetId="7">[3]Fin_Exp!#REF!</definedName>
    <definedName name="LEASES">[3]Fin_Exp!#REF!</definedName>
    <definedName name="ll" localSheetId="7" hidden="1">{#N/A,#N/A,FALSE,"FRC";#N/A,#N/A,FALSE,"ExecS";#N/A,#N/A,FALSE,"Summary CF";#N/A,#N/A,FALSE,"Detail CF";#N/A,#N/A,FALSE,"CF Assum";#N/A,#N/A,FALSE,"M Summary CF";#N/A,#N/A,FALSE,"M Detail CF";#N/A,#N/A,FALSE,"OSR";#N/A,#N/A,FALSE,"CTSR";#N/A,#N/A,FALSE,"RTSR";#N/A,#N/A,FALSE,"T Revenue";#N/A,#N/A,FALSE,"RP Trans";#N/A,#N/A,FALSE,"RE Taxes";#N/A,#N/A,FALSE,"S &amp; W";#N/A,#N/A,FALSE,"Cap X";#N/A,#N/A,FALSE,"P Bldg Improv"}</definedName>
    <definedName name="ll" hidden="1">{#N/A,#N/A,FALSE,"FRC";#N/A,#N/A,FALSE,"ExecS";#N/A,#N/A,FALSE,"Summary CF";#N/A,#N/A,FALSE,"Detail CF";#N/A,#N/A,FALSE,"CF Assum";#N/A,#N/A,FALSE,"M Summary CF";#N/A,#N/A,FALSE,"M Detail CF";#N/A,#N/A,FALSE,"OSR";#N/A,#N/A,FALSE,"CTSR";#N/A,#N/A,FALSE,"RTSR";#N/A,#N/A,FALSE,"T Revenue";#N/A,#N/A,FALSE,"RP Trans";#N/A,#N/A,FALSE,"RE Taxes";#N/A,#N/A,FALSE,"S &amp; W";#N/A,#N/A,FALSE,"Cap X";#N/A,#N/A,FALSE,"P Bldg Improv"}</definedName>
    <definedName name="LLC" localSheetId="7">#REF!</definedName>
    <definedName name="LLC">#REF!</definedName>
    <definedName name="loik" localSheetId="7">#REF!</definedName>
    <definedName name="loik">#REF!</definedName>
    <definedName name="lsjflsfoe" localSheetId="7" hidden="1">#REF!</definedName>
    <definedName name="lsjflsfoe" localSheetId="5" hidden="1">#REF!</definedName>
    <definedName name="lsjflsfoe" hidden="1">#REF!</definedName>
    <definedName name="lsjfslfoe" localSheetId="7" hidden="1">#REF!</definedName>
    <definedName name="lsjfslfoe" localSheetId="5" hidden="1">#REF!</definedName>
    <definedName name="lsjfslfoe" hidden="1">#REF!</definedName>
    <definedName name="LUSuper" localSheetId="7">#REF!</definedName>
    <definedName name="LUSuper">#REF!</definedName>
    <definedName name="March">'[7]03312013'!$A$3:$D$405</definedName>
    <definedName name="market">'[10]MV 123115'!$A$2:$D$460</definedName>
    <definedName name="MASON_GLOBAL_CENTER" localSheetId="7">#REF!</definedName>
    <definedName name="MASON_GLOBAL_CENTER">#REF!</definedName>
    <definedName name="master_buds_round_2_tablefin_sent_out_3_8_21" localSheetId="7">#REF!</definedName>
    <definedName name="master_buds_round_2_tablefin_sent_out_3_8_21">#REF!</definedName>
    <definedName name="MC" localSheetId="7">#REF!</definedName>
    <definedName name="MC">#REF!</definedName>
    <definedName name="MGC" localSheetId="7">[3]Fin_Exp!#REF!</definedName>
    <definedName name="MGC">[3]Fin_Exp!#REF!</definedName>
    <definedName name="MGMT._INFO" localSheetId="7">[3]Fin_Exp!#REF!</definedName>
    <definedName name="MGMT._INFO">[3]Fin_Exp!#REF!</definedName>
    <definedName name="MIP" localSheetId="7">#REF!</definedName>
    <definedName name="MIP">#REF!</definedName>
    <definedName name="MSTR.Chart_of_Accounts__All_Orgs___Funds_with_Transactions_" localSheetId="7">#REF!</definedName>
    <definedName name="MSTR.Chart_of_Accounts__All_Orgs___Funds_with_Transactions_">#REF!</definedName>
    <definedName name="MTCE_GRDS" localSheetId="7">#REF!</definedName>
    <definedName name="MTCE_GRDS">#REF!</definedName>
    <definedName name="name" localSheetId="7">#REF!,#REF!</definedName>
    <definedName name="name">#REF!,#REF!</definedName>
    <definedName name="NameGN" localSheetId="7">#REF!</definedName>
    <definedName name="NameGN">#REF!</definedName>
    <definedName name="NCEclass" localSheetId="7">#REF!</definedName>
    <definedName name="NCEclass">#REF!</definedName>
    <definedName name="NEIGHBRHD_FACILITIES" localSheetId="7">#REF!</definedName>
    <definedName name="NEIGHBRHD_FACILITIES">#REF!</definedName>
    <definedName name="new" localSheetId="7" hidden="1">'[1]2004 Fall Dtl'!#REF!</definedName>
    <definedName name="new" localSheetId="5" hidden="1">'[1]2004 Fall Dtl'!#REF!</definedName>
    <definedName name="new" hidden="1">'[1]2004 Fall Dtl'!#REF!</definedName>
    <definedName name="no" localSheetId="7" hidden="1">{#N/A,#N/A,FALSE,"FRC";#N/A,#N/A,FALSE,"ExecS";#N/A,#N/A,FALSE,"Summary CF";#N/A,#N/A,FALSE,"Detail CF";#N/A,#N/A,FALSE,"CF Assum";#N/A,#N/A,FALSE,"M Summary CF";#N/A,#N/A,FALSE,"M Detail CF";#N/A,#N/A,FALSE,"OSR";#N/A,#N/A,FALSE,"CTSR";#N/A,#N/A,FALSE,"RTSR";#N/A,#N/A,FALSE,"T Revenue";#N/A,#N/A,FALSE,"RP Trans";#N/A,#N/A,FALSE,"RE Taxes";#N/A,#N/A,FALSE,"S &amp; W";#N/A,#N/A,FALSE,"Cap X";#N/A,#N/A,FALSE,"P Bldg Improv"}</definedName>
    <definedName name="no" hidden="1">{#N/A,#N/A,FALSE,"FRC";#N/A,#N/A,FALSE,"ExecS";#N/A,#N/A,FALSE,"Summary CF";#N/A,#N/A,FALSE,"Detail CF";#N/A,#N/A,FALSE,"CF Assum";#N/A,#N/A,FALSE,"M Summary CF";#N/A,#N/A,FALSE,"M Detail CF";#N/A,#N/A,FALSE,"OSR";#N/A,#N/A,FALSE,"CTSR";#N/A,#N/A,FALSE,"RTSR";#N/A,#N/A,FALSE,"T Revenue";#N/A,#N/A,FALSE,"RP Trans";#N/A,#N/A,FALSE,"RE Taxes";#N/A,#N/A,FALSE,"S &amp; W";#N/A,#N/A,FALSE,"Cap X";#N/A,#N/A,FALSE,"P Bldg Improv"}</definedName>
    <definedName name="NumberOfYears">[13]Tables!$F$30:$F$32</definedName>
    <definedName name="NvsASD">"V2003-09-30"</definedName>
    <definedName name="NvsAutoDrillOk">"VN"</definedName>
    <definedName name="NvsElapsedTime">0.000150115745782387</definedName>
    <definedName name="NvsEndTime">37974.3813092593</definedName>
    <definedName name="NvsInstLang">"VENG"</definedName>
    <definedName name="NvsInstSpec">"%,FDEPTID,TALL_ORG_FUND,NPERM_PRINCIPAL_ENDW"</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"%,X,RZF.ACCOUNT.,CZF.."</definedName>
    <definedName name="NvsPanelBusUnit">"VGALLY"</definedName>
    <definedName name="NvsPanelEffdt">"V1901-01-01"</definedName>
    <definedName name="NvsPanelSetid">"VGALLY"</definedName>
    <definedName name="NvsParentRef">[14]Sheet1!$G$339</definedName>
    <definedName name="NvsReqBU">"VGALLY"</definedName>
    <definedName name="NvsReqBUOnly">"VY"</definedName>
    <definedName name="NvsTransLed">"VN"</definedName>
    <definedName name="NvsTreeASD">"V2003-09-30"</definedName>
    <definedName name="NvsValTbl.ACCOUNT">"GL_ACCOUNT_TBL"</definedName>
    <definedName name="NvsValTbl.DEPTID">"ORG_TBL"</definedName>
    <definedName name="NvsValTbl.FUND_CODE">"FUND_TBL"</definedName>
    <definedName name="OFFSET" localSheetId="7">OFFSET(#REF!,0,0,COUNTA(#REF!),COUNTA(#REF!))</definedName>
    <definedName name="OFFSET">OFFSET(#REF!,0,0,COUNTA(#REF!),COUNTA(#REF!))</definedName>
    <definedName name="OPEHeader" localSheetId="7">[9]Recoveries!#REF!</definedName>
    <definedName name="OPEHeader">[9]Recoveries!#REF!</definedName>
    <definedName name="OPEPrint_Area" localSheetId="7">[9]Recoveries!#REF!</definedName>
    <definedName name="OPEPrint_Area">[9]Recoveries!#REF!</definedName>
    <definedName name="Option_lookup" localSheetId="7">#REF!</definedName>
    <definedName name="Option_lookup">#REF!</definedName>
    <definedName name="payment" localSheetId="7">#REF!</definedName>
    <definedName name="payment">#REF!</definedName>
    <definedName name="PercentageRentHeader" localSheetId="7">#REF!</definedName>
    <definedName name="PercentageRentHeader">#REF!</definedName>
    <definedName name="PercentageRentPrint_Area" localSheetId="7">#REF!</definedName>
    <definedName name="PercentageRentPrint_Area">#REF!</definedName>
    <definedName name="PERIOD" localSheetId="7">#REF!</definedName>
    <definedName name="PERIOD">#REF!</definedName>
    <definedName name="Personnel" localSheetId="7">#REF!</definedName>
    <definedName name="Personnel">#REF!</definedName>
    <definedName name="pledge" localSheetId="7">#REF!</definedName>
    <definedName name="pledge">#REF!</definedName>
    <definedName name="PositionListing" localSheetId="7">#REF!</definedName>
    <definedName name="PositionListing">#REF!</definedName>
    <definedName name="Potomac_Heights" localSheetId="7">#REF!</definedName>
    <definedName name="Potomac_Heights">#REF!</definedName>
    <definedName name="POTOMAC_HTS" localSheetId="7">#REF!</definedName>
    <definedName name="POTOMAC_HTS">#REF!</definedName>
    <definedName name="_xlnm.Print_Area" localSheetId="5">'4-Academic-Financial'!$A$1:$Q$65</definedName>
    <definedName name="_xlnm.Print_Area" localSheetId="1">'Institution ID'!$A$1:$S$8</definedName>
    <definedName name="_xlnm.Print_Area" localSheetId="7">' 6-GF Request'!$A$3:$H$3</definedName>
    <definedName name="_xlnm.Print_Area">#REF!</definedName>
    <definedName name="Print_Area_MI" localSheetId="7">#REF!</definedName>
    <definedName name="Print_Area_MI">#REF!</definedName>
    <definedName name="_xlnm.Print_Titles" localSheetId="7">' 6-GF Request'!$1:$9</definedName>
    <definedName name="_xlnm.Print_Titles" localSheetId="5">'4-Academic-Financial'!$1:$2</definedName>
    <definedName name="PropertyTaxHeader" localSheetId="7">#REF!</definedName>
    <definedName name="PropertyTaxHeader">#REF!</definedName>
    <definedName name="PropertyTaxPrint_Area" localSheetId="7">#REF!</definedName>
    <definedName name="PropertyTaxPrint_Area">#REF!</definedName>
    <definedName name="purpose">[5]purpose!$B$1:$C$1468</definedName>
    <definedName name="qry_fy21_proposed_v8_prior_to_housing_fringe_fix" localSheetId="7">#REF!</definedName>
    <definedName name="qry_fy21_proposed_v8_prior_to_housing_fringe_fix">#REF!</definedName>
    <definedName name="Query21" localSheetId="7">#REF!</definedName>
    <definedName name="Query21">#REF!</definedName>
    <definedName name="Query28" localSheetId="7">#REF!</definedName>
    <definedName name="Query28">#REF!</definedName>
    <definedName name="Recover">[15]Macro1!$A$318</definedName>
    <definedName name="REIMB" localSheetId="7">#REF!</definedName>
    <definedName name="REIMB">#REF!</definedName>
    <definedName name="release" localSheetId="7">#REF!</definedName>
    <definedName name="release">#REF!</definedName>
    <definedName name="rent">'[16]PWC Lab lease schedule'!$K$9:$L$38</definedName>
    <definedName name="RESERVE_DRAWS" localSheetId="7">[3]Fin_Exp!#REF!</definedName>
    <definedName name="RESERVE_DRAWS">[3]Fin_Exp!#REF!</definedName>
    <definedName name="RESIDENCE_LIFE" localSheetId="7">#REF!</definedName>
    <definedName name="RESIDENCE_LIFE">#REF!</definedName>
    <definedName name="RID" localSheetId="7">#REF!</definedName>
    <definedName name="RID">#REF!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2</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RMNON" localSheetId="7">#REF!</definedName>
    <definedName name="RMNON">#REF!</definedName>
    <definedName name="ROBIN" localSheetId="7">#REF!</definedName>
    <definedName name="ROBIN">#REF!</definedName>
    <definedName name="SAFETY___NITE_OPERATIONS" localSheetId="7">[3]Fin_Exp!#REF!</definedName>
    <definedName name="SAFETY___NITE_OPERATIONS">[3]Fin_Exp!#REF!</definedName>
    <definedName name="SAFETY_NITE_OPERATIONS" localSheetId="7">#REF!</definedName>
    <definedName name="SAFETY_NITE_OPERATIONS">#REF!</definedName>
    <definedName name="SafetyEM" localSheetId="7">#REF!</definedName>
    <definedName name="SafetyEM">#REF!</definedName>
    <definedName name="SalaryIncrease">'[12]Lookup Tables'!$H$1:$I$7</definedName>
    <definedName name="Sept">'[7]09302012'!$A$3:$D$394</definedName>
    <definedName name="sjfslfoep" localSheetId="7" hidden="1">#REF!</definedName>
    <definedName name="sjfslfoep" localSheetId="5" hidden="1">#REF!</definedName>
    <definedName name="sjfslfoep" hidden="1">#REF!</definedName>
    <definedName name="sjfslfowse" localSheetId="7" hidden="1">#REF!</definedName>
    <definedName name="sjfslfowse" localSheetId="5" hidden="1">#REF!</definedName>
    <definedName name="sjfslfowse" hidden="1">#REF!</definedName>
    <definedName name="sldjowepj" localSheetId="7" hidden="1">#REF!</definedName>
    <definedName name="sldjowepj" localSheetId="5" hidden="1">#REF!</definedName>
    <definedName name="sldjowepj" hidden="1">#REF!</definedName>
    <definedName name="sljfslfjoe" localSheetId="7" hidden="1">#REF!</definedName>
    <definedName name="sljfslfjoe" localSheetId="5" hidden="1">#REF!</definedName>
    <definedName name="sljfslfjoe" hidden="1">#REF!</definedName>
    <definedName name="sljfslfjpe" localSheetId="7" hidden="1">#REF!</definedName>
    <definedName name="sljfslfjpe" localSheetId="5" hidden="1">#REF!</definedName>
    <definedName name="sljfslfjpe" hidden="1">#REF!</definedName>
    <definedName name="sljfslfjpoe" localSheetId="7" hidden="1">#REF!</definedName>
    <definedName name="sljfslfjpoe" localSheetId="5" hidden="1">#REF!</definedName>
    <definedName name="sljfslfjpoe" hidden="1">#REF!</definedName>
    <definedName name="sljfslie" localSheetId="7" hidden="1">#REF!</definedName>
    <definedName name="sljfslie" localSheetId="5" hidden="1">#REF!</definedName>
    <definedName name="sljfslie" hidden="1">#REF!</definedName>
    <definedName name="sljfsljfope" localSheetId="7" hidden="1">#REF!</definedName>
    <definedName name="sljfsljfope" localSheetId="5" hidden="1">#REF!</definedName>
    <definedName name="sljfsljfope" hidden="1">#REF!</definedName>
    <definedName name="SMSC" localSheetId="7">#REF!</definedName>
    <definedName name="SMSC">#REF!</definedName>
    <definedName name="sort2" localSheetId="7" hidden="1">#REF!</definedName>
    <definedName name="sort2" localSheetId="5" hidden="1">#REF!</definedName>
    <definedName name="sort2" hidden="1">#REF!</definedName>
    <definedName name="State_Appropriations" localSheetId="7">#REF!</definedName>
    <definedName name="State_Appropriations">#REF!</definedName>
    <definedName name="Status">'[17]Chart of Accounts'!$K$1:$K$6</definedName>
    <definedName name="STUDENT_TELECOM" localSheetId="7">[3]Fin_Exp!#REF!</definedName>
    <definedName name="STUDENT_TELECOM">[3]Fin_Exp!#REF!</definedName>
    <definedName name="SUM_PROGRAM_CONF___INTERN" localSheetId="7">[3]Fin_Exp!#REF!</definedName>
    <definedName name="SUM_PROGRAM_CONF___INTERN">[3]Fin_Exp!#REF!</definedName>
    <definedName name="SummerStudent" localSheetId="7">#REF!</definedName>
    <definedName name="SummerStudent">#REF!</definedName>
    <definedName name="t" localSheetId="7">#REF!</definedName>
    <definedName name="t">#REF!</definedName>
    <definedName name="TableName">"Dummy"</definedName>
    <definedName name="TAX" localSheetId="7">#REF!</definedName>
    <definedName name="TAX">#REF!</definedName>
    <definedName name="tblAcct" localSheetId="7">#REF!</definedName>
    <definedName name="tblAcct">#REF!</definedName>
    <definedName name="tblFOAP" localSheetId="7">#REF!</definedName>
    <definedName name="tblFOAP">#REF!</definedName>
    <definedName name="TeamLead">'[17]Chart of Accounts'!$M$1:$M$9</definedName>
    <definedName name="temp" localSheetId="7" hidden="1">#REF!</definedName>
    <definedName name="temp" localSheetId="5" hidden="1">#REF!</definedName>
    <definedName name="temp" hidden="1">#REF!</definedName>
    <definedName name="TEST_PRJ" localSheetId="7">#REF!</definedName>
    <definedName name="TEST_PRJ">#REF!</definedName>
    <definedName name="time" localSheetId="7">#REF!,#REF!</definedName>
    <definedName name="time">#REF!,#REF!</definedName>
    <definedName name="Title1" localSheetId="7">#REF!</definedName>
    <definedName name="Title1">#REF!</definedName>
    <definedName name="TRNG___DEVEL" localSheetId="7">[3]Fin_Exp!#REF!</definedName>
    <definedName name="TRNG___DEVEL">[3]Fin_Exp!#REF!</definedName>
    <definedName name="TW_Rehab_5_31_18">'[18]Chart of Accounts'!$K$1:$K$7</definedName>
    <definedName name="UTIL" localSheetId="7">[9]Recoveries!#REF!</definedName>
    <definedName name="UTIL">[9]Recoveries!#REF!</definedName>
    <definedName name="UTILITIES" localSheetId="7">[3]Fin_Exp!#REF!</definedName>
    <definedName name="UTILITIES">[3]Fin_Exp!#REF!</definedName>
    <definedName name="UtilitiesHeader" localSheetId="7">[9]Recoveries!#REF!</definedName>
    <definedName name="UtilitiesHeader">[9]Recoveries!#REF!</definedName>
    <definedName name="UtilitiesPrint_Area" localSheetId="7">[9]Recoveries!#REF!</definedName>
    <definedName name="UtilitiesPrint_Area">[9]Recoveries!#REF!</definedName>
    <definedName name="VALW">[19]Parameters!#REF!</definedName>
    <definedName name="VEHICLES">[3]Fin_Exp!#REF!</definedName>
    <definedName name="Weight_Functional">'[20]Adequacy Weightings'!$E$21</definedName>
    <definedName name="Weight_Technical">'[20]Adequacy Weightings'!$E$22</definedName>
    <definedName name="wrn.CashFlow._.Budget." localSheetId="7" hidden="1">{#N/A,#N/A,FALSE,"FRC";#N/A,#N/A,FALSE,"ExecS";#N/A,#N/A,FALSE,"Summary CF";#N/A,#N/A,FALSE,"Detail CF";#N/A,#N/A,FALSE,"CF Assum";#N/A,#N/A,FALSE,"M Summary CF";#N/A,#N/A,FALSE,"M Detail CF";#N/A,#N/A,FALSE,"OSR";#N/A,#N/A,FALSE,"CTSR";#N/A,#N/A,FALSE,"RTSR";#N/A,#N/A,FALSE,"T Revenue";#N/A,#N/A,FALSE,"RP Trans";#N/A,#N/A,FALSE,"RE Taxes";#N/A,#N/A,FALSE,"S &amp; W";#N/A,#N/A,FALSE,"Cap X";#N/A,#N/A,FALSE,"P Bldg Improv"}</definedName>
    <definedName name="wrn.CashFlow._.Budget." hidden="1">{#N/A,#N/A,FALSE,"FRC";#N/A,#N/A,FALSE,"ExecS";#N/A,#N/A,FALSE,"Summary CF";#N/A,#N/A,FALSE,"Detail CF";#N/A,#N/A,FALSE,"CF Assum";#N/A,#N/A,FALSE,"M Summary CF";#N/A,#N/A,FALSE,"M Detail CF";#N/A,#N/A,FALSE,"OSR";#N/A,#N/A,FALSE,"CTSR";#N/A,#N/A,FALSE,"RTSR";#N/A,#N/A,FALSE,"T Revenue";#N/A,#N/A,FALSE,"RP Trans";#N/A,#N/A,FALSE,"RE Taxes";#N/A,#N/A,FALSE,"S &amp; W";#N/A,#N/A,FALSE,"Cap X";#N/A,#N/A,FALSE,"P Bldg Improv"}</definedName>
    <definedName name="Years">[4]Tables!$F$30:$F$31</definedName>
    <definedName name="YTD_PR" localSheetId="7">#REF!</definedName>
    <definedName name="YTD_P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7" l="1"/>
  <c r="D18" i="7"/>
  <c r="I58" i="6" l="1"/>
  <c r="I57" i="6"/>
  <c r="I56" i="6"/>
  <c r="I55" i="6"/>
  <c r="I54" i="6"/>
  <c r="I52" i="6"/>
  <c r="I51" i="6"/>
  <c r="I50" i="6"/>
  <c r="I49" i="6"/>
  <c r="I48" i="6"/>
  <c r="I46" i="6"/>
  <c r="I45" i="6"/>
  <c r="I44" i="6"/>
  <c r="I43" i="6"/>
  <c r="I42" i="6"/>
  <c r="I40" i="6"/>
  <c r="I39" i="6"/>
  <c r="I38" i="6"/>
  <c r="I37" i="6"/>
  <c r="I35" i="6"/>
  <c r="I34" i="6"/>
  <c r="I33" i="6"/>
  <c r="I32" i="6"/>
  <c r="I31" i="6"/>
  <c r="I30" i="6"/>
  <c r="I28" i="6"/>
  <c r="I27" i="6"/>
  <c r="I26" i="6"/>
  <c r="I25" i="6"/>
  <c r="I24" i="6"/>
  <c r="I23" i="6"/>
  <c r="I22" i="6"/>
  <c r="I21" i="6"/>
  <c r="I20" i="6"/>
  <c r="I19" i="6"/>
  <c r="I18" i="6"/>
  <c r="I17" i="6"/>
  <c r="I16" i="6"/>
  <c r="I15" i="6"/>
  <c r="I14" i="6"/>
  <c r="I13" i="6"/>
  <c r="E58" i="6"/>
  <c r="E57" i="6"/>
  <c r="E56" i="6"/>
  <c r="E55" i="6"/>
  <c r="E54" i="6"/>
  <c r="E52" i="6"/>
  <c r="E51" i="6"/>
  <c r="E50" i="6"/>
  <c r="E49" i="6"/>
  <c r="E48" i="6"/>
  <c r="E46" i="6"/>
  <c r="E45" i="6"/>
  <c r="E44" i="6"/>
  <c r="E43" i="6"/>
  <c r="E42" i="6"/>
  <c r="E40" i="6"/>
  <c r="E39" i="6"/>
  <c r="E38" i="6"/>
  <c r="E37" i="6"/>
  <c r="E35" i="6"/>
  <c r="E34" i="6"/>
  <c r="E33" i="6"/>
  <c r="E32" i="6"/>
  <c r="E31" i="6"/>
  <c r="E30" i="6"/>
  <c r="E28" i="6"/>
  <c r="E27" i="6"/>
  <c r="E26" i="6"/>
  <c r="E25" i="6"/>
  <c r="E24" i="6"/>
  <c r="E23" i="6"/>
  <c r="E22" i="6"/>
  <c r="E21" i="6"/>
  <c r="E20" i="6"/>
  <c r="E19" i="6"/>
  <c r="E18" i="6"/>
  <c r="E17" i="6"/>
  <c r="E16" i="6"/>
  <c r="E15" i="6"/>
  <c r="E14" i="6"/>
  <c r="E13" i="6"/>
  <c r="G13" i="7" l="1"/>
  <c r="F13" i="7" s="1"/>
  <c r="E13" i="7" l="1"/>
  <c r="D13" i="7" s="1"/>
  <c r="E12" i="7"/>
  <c r="G12" i="7" l="1"/>
  <c r="F12" i="7" s="1"/>
  <c r="D12" i="7"/>
  <c r="D31" i="9" l="1"/>
  <c r="J16" i="9"/>
  <c r="L16" i="9" s="1"/>
  <c r="N16" i="9" s="1"/>
  <c r="P16" i="9" s="1"/>
  <c r="I16" i="9"/>
  <c r="A2" i="9"/>
  <c r="F22" i="7"/>
  <c r="D22" i="7"/>
  <c r="G21" i="7"/>
  <c r="F21" i="7" s="1"/>
  <c r="E21" i="7"/>
  <c r="D21" i="7"/>
  <c r="G20" i="7"/>
  <c r="F20" i="7" s="1"/>
  <c r="E20" i="7"/>
  <c r="D20" i="7" s="1"/>
  <c r="F17" i="7"/>
  <c r="D17" i="7"/>
  <c r="F16" i="7"/>
  <c r="D16" i="7"/>
  <c r="E14" i="7"/>
  <c r="G14" i="7" s="1"/>
  <c r="F14" i="7" s="1"/>
  <c r="G11" i="7"/>
  <c r="E11" i="7"/>
  <c r="C14" i="9"/>
  <c r="A2" i="6"/>
  <c r="G109" i="5"/>
  <c r="E108" i="5"/>
  <c r="D108" i="5"/>
  <c r="E107" i="5"/>
  <c r="D107" i="5"/>
  <c r="E106" i="5"/>
  <c r="D106" i="5"/>
  <c r="B106" i="5"/>
  <c r="H106" i="5" s="1"/>
  <c r="I106" i="5" s="1"/>
  <c r="E105" i="5"/>
  <c r="B105" i="5"/>
  <c r="H105" i="5" s="1"/>
  <c r="I105" i="5" s="1"/>
  <c r="E104" i="5"/>
  <c r="E103" i="5"/>
  <c r="E109" i="5" s="1"/>
  <c r="E95" i="5"/>
  <c r="D95" i="5"/>
  <c r="E94" i="5"/>
  <c r="D94" i="5"/>
  <c r="E93" i="5"/>
  <c r="D93" i="5"/>
  <c r="B93" i="5"/>
  <c r="H93" i="5" s="1"/>
  <c r="I93" i="5" s="1"/>
  <c r="E92" i="5"/>
  <c r="D92" i="5"/>
  <c r="E91" i="5"/>
  <c r="G96" i="5"/>
  <c r="F96" i="5"/>
  <c r="E90" i="5"/>
  <c r="E96" i="5" s="1"/>
  <c r="C96" i="5"/>
  <c r="E82" i="5"/>
  <c r="D82" i="5"/>
  <c r="E81" i="5"/>
  <c r="D81" i="5"/>
  <c r="E80" i="5"/>
  <c r="D80" i="5"/>
  <c r="E79" i="5"/>
  <c r="D79" i="5"/>
  <c r="F83" i="5"/>
  <c r="E78" i="5"/>
  <c r="B78" i="5"/>
  <c r="G83" i="5"/>
  <c r="B77" i="5"/>
  <c r="E69" i="5"/>
  <c r="D69" i="5"/>
  <c r="E68" i="5"/>
  <c r="D68" i="5"/>
  <c r="E67" i="5"/>
  <c r="D67" i="5"/>
  <c r="B67" i="5"/>
  <c r="H67" i="5" s="1"/>
  <c r="I67" i="5" s="1"/>
  <c r="E66" i="5"/>
  <c r="B66" i="5"/>
  <c r="H66" i="5" s="1"/>
  <c r="I66" i="5" s="1"/>
  <c r="B65" i="5"/>
  <c r="H65" i="5" s="1"/>
  <c r="I65" i="5" s="1"/>
  <c r="G70" i="5"/>
  <c r="F70" i="5"/>
  <c r="E64" i="5"/>
  <c r="E56" i="5"/>
  <c r="D56" i="5"/>
  <c r="E55" i="5"/>
  <c r="D55" i="5"/>
  <c r="E54" i="5"/>
  <c r="D54" i="5"/>
  <c r="E53" i="5"/>
  <c r="D53" i="5"/>
  <c r="E52" i="5"/>
  <c r="G57" i="5"/>
  <c r="F57" i="5"/>
  <c r="C57" i="5"/>
  <c r="G44" i="5"/>
  <c r="E43" i="5"/>
  <c r="C43" i="5"/>
  <c r="D43" i="5" s="1"/>
  <c r="E42" i="5"/>
  <c r="C42" i="5"/>
  <c r="D42" i="5" s="1"/>
  <c r="E41" i="5"/>
  <c r="C41" i="5"/>
  <c r="D41" i="5" s="1"/>
  <c r="E40" i="5"/>
  <c r="C40" i="5"/>
  <c r="D40" i="5" s="1"/>
  <c r="F44" i="5"/>
  <c r="E39" i="5"/>
  <c r="E38" i="5"/>
  <c r="J38" i="5" s="1"/>
  <c r="K38" i="5" s="1"/>
  <c r="C44" i="5"/>
  <c r="E30" i="5"/>
  <c r="C30" i="5"/>
  <c r="D30" i="5" s="1"/>
  <c r="E29" i="5"/>
  <c r="C29" i="5"/>
  <c r="D29" i="5" s="1"/>
  <c r="E28" i="5"/>
  <c r="C28" i="5"/>
  <c r="D28" i="5" s="1"/>
  <c r="E27" i="5"/>
  <c r="C27" i="5"/>
  <c r="D27" i="5" s="1"/>
  <c r="F31" i="5"/>
  <c r="E26" i="5"/>
  <c r="B26" i="5"/>
  <c r="G31" i="5"/>
  <c r="B25" i="5"/>
  <c r="E17" i="5"/>
  <c r="C17" i="5"/>
  <c r="D17" i="5" s="1"/>
  <c r="D16" i="5"/>
  <c r="E15" i="5"/>
  <c r="C15" i="5"/>
  <c r="D15" i="5" s="1"/>
  <c r="D14" i="5"/>
  <c r="E13" i="5"/>
  <c r="G18" i="5"/>
  <c r="F18" i="5"/>
  <c r="E12" i="5"/>
  <c r="B12" i="5"/>
  <c r="A2" i="5"/>
  <c r="H34" i="4"/>
  <c r="F34" i="4"/>
  <c r="D34" i="4"/>
  <c r="G33" i="4"/>
  <c r="E33" i="4"/>
  <c r="H33" i="4" s="1"/>
  <c r="C33" i="4"/>
  <c r="F33" i="4" s="1"/>
  <c r="B33" i="4"/>
  <c r="D33" i="4" s="1"/>
  <c r="H32" i="4"/>
  <c r="F32" i="4"/>
  <c r="D32" i="4"/>
  <c r="H31" i="4"/>
  <c r="F31" i="4"/>
  <c r="D31" i="4"/>
  <c r="Q26" i="4"/>
  <c r="Q25" i="4"/>
  <c r="P25" i="4"/>
  <c r="N25" i="4"/>
  <c r="J25" i="4"/>
  <c r="H25" i="4"/>
  <c r="C8" i="9"/>
  <c r="Q24" i="4"/>
  <c r="Q23" i="4"/>
  <c r="Q17" i="4"/>
  <c r="P23" i="4"/>
  <c r="L23" i="4"/>
  <c r="J23" i="4"/>
  <c r="D23" i="4"/>
  <c r="Q22" i="4"/>
  <c r="Q21" i="4"/>
  <c r="Q20" i="4"/>
  <c r="O20" i="4"/>
  <c r="Q14" i="4" s="1"/>
  <c r="M20" i="4"/>
  <c r="P20" i="4" s="1"/>
  <c r="K20" i="4"/>
  <c r="N20" i="4" s="1"/>
  <c r="I20" i="4"/>
  <c r="L20" i="4" s="1"/>
  <c r="G20" i="4"/>
  <c r="J20" i="4" s="1"/>
  <c r="E20" i="4"/>
  <c r="H20" i="4" s="1"/>
  <c r="C20" i="4"/>
  <c r="F20" i="4" s="1"/>
  <c r="B20" i="4"/>
  <c r="D20" i="4" s="1"/>
  <c r="Q19" i="4"/>
  <c r="O19" i="4"/>
  <c r="M19" i="4"/>
  <c r="P19" i="4" s="1"/>
  <c r="K19" i="4"/>
  <c r="N19" i="4" s="1"/>
  <c r="I19" i="4"/>
  <c r="L19" i="4" s="1"/>
  <c r="G19" i="4"/>
  <c r="J19" i="4" s="1"/>
  <c r="E19" i="4"/>
  <c r="H19" i="4" s="1"/>
  <c r="C19" i="4"/>
  <c r="F19" i="4" s="1"/>
  <c r="B19" i="4"/>
  <c r="O18" i="4"/>
  <c r="M18" i="4"/>
  <c r="P18" i="4" s="1"/>
  <c r="K18" i="4"/>
  <c r="I18" i="4"/>
  <c r="L18" i="4" s="1"/>
  <c r="G18" i="4"/>
  <c r="J18" i="4" s="1"/>
  <c r="E18" i="4"/>
  <c r="H18" i="4" s="1"/>
  <c r="C18" i="4"/>
  <c r="B18" i="4"/>
  <c r="O17" i="4"/>
  <c r="M17" i="4"/>
  <c r="P17" i="4" s="1"/>
  <c r="K17" i="4"/>
  <c r="N17" i="4" s="1"/>
  <c r="I17" i="4"/>
  <c r="L17" i="4" s="1"/>
  <c r="G17" i="4"/>
  <c r="J17" i="4" s="1"/>
  <c r="E17" i="4"/>
  <c r="H17" i="4" s="1"/>
  <c r="C17" i="4"/>
  <c r="F17" i="4" s="1"/>
  <c r="B17" i="4"/>
  <c r="O16" i="4"/>
  <c r="M16" i="4"/>
  <c r="P16" i="4" s="1"/>
  <c r="K16" i="4"/>
  <c r="N16" i="4" s="1"/>
  <c r="I16" i="4"/>
  <c r="L16" i="4" s="1"/>
  <c r="G16" i="4"/>
  <c r="J16" i="4" s="1"/>
  <c r="E16" i="4"/>
  <c r="H16" i="4" s="1"/>
  <c r="C16" i="4"/>
  <c r="F16" i="4" s="1"/>
  <c r="B16" i="4"/>
  <c r="O15" i="4"/>
  <c r="Q9" i="4" s="1"/>
  <c r="M15" i="4"/>
  <c r="P15" i="4" s="1"/>
  <c r="K15" i="4"/>
  <c r="N15" i="4" s="1"/>
  <c r="I15" i="4"/>
  <c r="L15" i="4" s="1"/>
  <c r="G15" i="4"/>
  <c r="J15" i="4" s="1"/>
  <c r="E15" i="4"/>
  <c r="H15" i="4" s="1"/>
  <c r="C15" i="4"/>
  <c r="F15" i="4" s="1"/>
  <c r="B15" i="4"/>
  <c r="D15" i="4" s="1"/>
  <c r="O14" i="4"/>
  <c r="M14" i="4"/>
  <c r="P14" i="4" s="1"/>
  <c r="K14" i="4"/>
  <c r="N14" i="4" s="1"/>
  <c r="I14" i="4"/>
  <c r="L14" i="4" s="1"/>
  <c r="G14" i="4"/>
  <c r="E14" i="4"/>
  <c r="H14" i="4" s="1"/>
  <c r="C14" i="4"/>
  <c r="F14" i="4" s="1"/>
  <c r="B14" i="4"/>
  <c r="Q13" i="4"/>
  <c r="O13" i="4"/>
  <c r="M13" i="4"/>
  <c r="K13" i="4"/>
  <c r="N13" i="4" s="1"/>
  <c r="I13" i="4"/>
  <c r="G13" i="4"/>
  <c r="J13" i="4" s="1"/>
  <c r="E13" i="4"/>
  <c r="H13" i="4" s="1"/>
  <c r="C13" i="4"/>
  <c r="F13" i="4" s="1"/>
  <c r="B13" i="4"/>
  <c r="R12" i="4"/>
  <c r="Q12" i="4"/>
  <c r="P12" i="4"/>
  <c r="B108" i="5"/>
  <c r="H108" i="5" s="1"/>
  <c r="I108" i="5" s="1"/>
  <c r="N12" i="4"/>
  <c r="J12" i="4"/>
  <c r="H12" i="4"/>
  <c r="B56" i="5"/>
  <c r="H56" i="5" s="1"/>
  <c r="I56" i="5" s="1"/>
  <c r="F12" i="4"/>
  <c r="E22" i="4"/>
  <c r="Q11" i="4"/>
  <c r="B107" i="5"/>
  <c r="H107" i="5" s="1"/>
  <c r="I107" i="5" s="1"/>
  <c r="P11" i="4"/>
  <c r="H11" i="4"/>
  <c r="R11" i="4"/>
  <c r="R10" i="4"/>
  <c r="Q10" i="4"/>
  <c r="P10" i="4"/>
  <c r="J10" i="4"/>
  <c r="H10" i="4"/>
  <c r="B54" i="5"/>
  <c r="H54" i="5" s="1"/>
  <c r="I54" i="5" s="1"/>
  <c r="B41" i="5"/>
  <c r="H41" i="5" s="1"/>
  <c r="I41" i="5" s="1"/>
  <c r="B15" i="5"/>
  <c r="H15" i="5" s="1"/>
  <c r="I15" i="5" s="1"/>
  <c r="L9" i="4"/>
  <c r="J9" i="4"/>
  <c r="R9" i="4"/>
  <c r="B104" i="5"/>
  <c r="D104" i="5" s="1"/>
  <c r="L8" i="4"/>
  <c r="J8" i="4"/>
  <c r="B52" i="5"/>
  <c r="H52" i="5" s="1"/>
  <c r="I52" i="5" s="1"/>
  <c r="F8" i="4"/>
  <c r="D8" i="4"/>
  <c r="R8" i="4"/>
  <c r="N7" i="4"/>
  <c r="K24" i="4"/>
  <c r="L7" i="4"/>
  <c r="D7" i="4"/>
  <c r="A2" i="4"/>
  <c r="B16" i="3"/>
  <c r="C15" i="3"/>
  <c r="F14" i="3"/>
  <c r="D14" i="3"/>
  <c r="C13" i="3"/>
  <c r="B12" i="3"/>
  <c r="C11" i="3"/>
  <c r="F10" i="3"/>
  <c r="D10" i="3"/>
  <c r="C9" i="3"/>
  <c r="D9" i="3" s="1"/>
  <c r="A2" i="3"/>
  <c r="D11" i="7" l="1"/>
  <c r="E23" i="7"/>
  <c r="D14" i="7"/>
  <c r="D11" i="3"/>
  <c r="E11" i="3"/>
  <c r="F11" i="3" s="1"/>
  <c r="E13" i="3"/>
  <c r="C16" i="3"/>
  <c r="D16" i="3" s="1"/>
  <c r="D13" i="3"/>
  <c r="E15" i="3"/>
  <c r="F15" i="3" s="1"/>
  <c r="D15" i="3"/>
  <c r="R13" i="4"/>
  <c r="D13" i="4"/>
  <c r="L13" i="4"/>
  <c r="I21" i="4"/>
  <c r="M21" i="4"/>
  <c r="P13" i="4"/>
  <c r="Q7" i="4"/>
  <c r="O21" i="4"/>
  <c r="R14" i="4"/>
  <c r="D14" i="4"/>
  <c r="J14" i="4"/>
  <c r="G22" i="4"/>
  <c r="H22" i="4" s="1"/>
  <c r="Q8" i="4"/>
  <c r="O22" i="4"/>
  <c r="R16" i="4"/>
  <c r="D16" i="4"/>
  <c r="R17" i="4"/>
  <c r="D17" i="4"/>
  <c r="R18" i="4"/>
  <c r="D18" i="4"/>
  <c r="D19" i="4"/>
  <c r="R19" i="4"/>
  <c r="D12" i="5"/>
  <c r="H12" i="5"/>
  <c r="I12" i="5" s="1"/>
  <c r="E18" i="5"/>
  <c r="J12" i="5"/>
  <c r="K12" i="5" s="1"/>
  <c r="D26" i="5"/>
  <c r="H26" i="5"/>
  <c r="I26" i="5" s="1"/>
  <c r="D78" i="5"/>
  <c r="H78" i="5"/>
  <c r="I78" i="5" s="1"/>
  <c r="E9" i="3"/>
  <c r="O24" i="4"/>
  <c r="P10" i="9" s="1"/>
  <c r="B103" i="5"/>
  <c r="P21" i="4"/>
  <c r="M24" i="4"/>
  <c r="K26" i="4"/>
  <c r="N11" i="4"/>
  <c r="K21" i="4"/>
  <c r="N21" i="4" s="1"/>
  <c r="B81" i="5"/>
  <c r="H81" i="5" s="1"/>
  <c r="I81" i="5" s="1"/>
  <c r="F18" i="4"/>
  <c r="B30" i="5"/>
  <c r="H30" i="5" s="1"/>
  <c r="I30" i="5" s="1"/>
  <c r="P9" i="4"/>
  <c r="B92" i="5"/>
  <c r="H92" i="5" s="1"/>
  <c r="I92" i="5" s="1"/>
  <c r="E44" i="5"/>
  <c r="N10" i="4"/>
  <c r="B80" i="5"/>
  <c r="H80" i="5" s="1"/>
  <c r="I80" i="5" s="1"/>
  <c r="F11" i="4"/>
  <c r="C21" i="4"/>
  <c r="B29" i="5"/>
  <c r="H29" i="5" s="1"/>
  <c r="I29" i="5" s="1"/>
  <c r="H7" i="4"/>
  <c r="B38" i="5"/>
  <c r="H9" i="4"/>
  <c r="B40" i="5"/>
  <c r="H40" i="5" s="1"/>
  <c r="I40" i="5" s="1"/>
  <c r="F10" i="4"/>
  <c r="B28" i="5"/>
  <c r="H28" i="5" s="1"/>
  <c r="I28" i="5" s="1"/>
  <c r="L10" i="4"/>
  <c r="N23" i="4"/>
  <c r="L25" i="4"/>
  <c r="N24" i="4"/>
  <c r="J64" i="5"/>
  <c r="K64" i="5" s="1"/>
  <c r="D66" i="5"/>
  <c r="C12" i="3"/>
  <c r="D12" i="3" s="1"/>
  <c r="F9" i="4"/>
  <c r="B27" i="5"/>
  <c r="H27" i="5" s="1"/>
  <c r="I27" i="5" s="1"/>
  <c r="B68" i="5"/>
  <c r="H68" i="5" s="1"/>
  <c r="I68" i="5" s="1"/>
  <c r="C24" i="4"/>
  <c r="D9" i="4"/>
  <c r="L12" i="4"/>
  <c r="I22" i="4"/>
  <c r="J22" i="4" s="1"/>
  <c r="F7" i="4"/>
  <c r="D10" i="4"/>
  <c r="B55" i="5"/>
  <c r="H55" i="5" s="1"/>
  <c r="I55" i="5" s="1"/>
  <c r="B22" i="4"/>
  <c r="D12" i="4"/>
  <c r="K22" i="4"/>
  <c r="C18" i="5"/>
  <c r="D52" i="5"/>
  <c r="E65" i="5"/>
  <c r="D65" i="5"/>
  <c r="C70" i="5"/>
  <c r="H104" i="5"/>
  <c r="I104" i="5" s="1"/>
  <c r="E24" i="4"/>
  <c r="P7" i="4"/>
  <c r="B90" i="5"/>
  <c r="Q16" i="4"/>
  <c r="E70" i="5"/>
  <c r="L11" i="4"/>
  <c r="C22" i="4"/>
  <c r="F22" i="4" s="1"/>
  <c r="M22" i="4"/>
  <c r="P22" i="4" s="1"/>
  <c r="R20" i="4"/>
  <c r="H23" i="4"/>
  <c r="D8" i="9"/>
  <c r="F25" i="4"/>
  <c r="O26" i="4"/>
  <c r="H25" i="5"/>
  <c r="H77" i="5"/>
  <c r="F59" i="6"/>
  <c r="F11" i="7"/>
  <c r="G23" i="7"/>
  <c r="B21" i="4"/>
  <c r="Q15" i="4" s="1"/>
  <c r="D11" i="4"/>
  <c r="B16" i="5"/>
  <c r="H16" i="5" s="1"/>
  <c r="I16" i="5" s="1"/>
  <c r="J7" i="4"/>
  <c r="B51" i="5"/>
  <c r="G24" i="4"/>
  <c r="P8" i="4"/>
  <c r="B91" i="5"/>
  <c r="B39" i="5"/>
  <c r="H8" i="4"/>
  <c r="N8" i="4"/>
  <c r="N9" i="4"/>
  <c r="B79" i="5"/>
  <c r="H79" i="5" s="1"/>
  <c r="I79" i="5" s="1"/>
  <c r="J11" i="4"/>
  <c r="E21" i="4"/>
  <c r="N18" i="4"/>
  <c r="B82" i="5"/>
  <c r="H82" i="5" s="1"/>
  <c r="I82" i="5" s="1"/>
  <c r="G21" i="4"/>
  <c r="J21" i="4" s="1"/>
  <c r="F23" i="4"/>
  <c r="D25" i="4"/>
  <c r="B17" i="5"/>
  <c r="H17" i="5" s="1"/>
  <c r="I17" i="5" s="1"/>
  <c r="D25" i="5"/>
  <c r="C31" i="5"/>
  <c r="E25" i="5"/>
  <c r="B69" i="5"/>
  <c r="H69" i="5" s="1"/>
  <c r="I69" i="5" s="1"/>
  <c r="C83" i="5"/>
  <c r="E77" i="5"/>
  <c r="D77" i="5"/>
  <c r="C109" i="5"/>
  <c r="L10" i="9"/>
  <c r="L21" i="4"/>
  <c r="B94" i="5"/>
  <c r="H94" i="5" s="1"/>
  <c r="I94" i="5" s="1"/>
  <c r="B95" i="5"/>
  <c r="H95" i="5" s="1"/>
  <c r="I95" i="5" s="1"/>
  <c r="E26" i="4"/>
  <c r="M26" i="4"/>
  <c r="D105" i="5"/>
  <c r="H59" i="6"/>
  <c r="B13" i="5"/>
  <c r="B14" i="5"/>
  <c r="H14" i="5" s="1"/>
  <c r="I14" i="5" s="1"/>
  <c r="B42" i="5"/>
  <c r="H42" i="5" s="1"/>
  <c r="I42" i="5" s="1"/>
  <c r="B43" i="5"/>
  <c r="H43" i="5" s="1"/>
  <c r="I43" i="5" s="1"/>
  <c r="R7" i="4"/>
  <c r="R15" i="4"/>
  <c r="R23" i="4"/>
  <c r="I24" i="4"/>
  <c r="I26" i="4" s="1"/>
  <c r="G26" i="4"/>
  <c r="L59" i="6"/>
  <c r="B24" i="4"/>
  <c r="B53" i="5"/>
  <c r="H53" i="5" s="1"/>
  <c r="I53" i="5" s="1"/>
  <c r="B64" i="5"/>
  <c r="F109" i="5"/>
  <c r="E8" i="9"/>
  <c r="R25" i="4"/>
  <c r="E51" i="5"/>
  <c r="D14" i="9"/>
  <c r="E14" i="9" s="1"/>
  <c r="D23" i="7" l="1"/>
  <c r="M59" i="6"/>
  <c r="F23" i="7"/>
  <c r="N22" i="4"/>
  <c r="E16" i="3"/>
  <c r="F16" i="3" s="1"/>
  <c r="F13" i="3"/>
  <c r="L26" i="4"/>
  <c r="J26" i="4"/>
  <c r="K59" i="6"/>
  <c r="J64" i="6" s="1"/>
  <c r="I12" i="6"/>
  <c r="D91" i="5"/>
  <c r="H91" i="5"/>
  <c r="I91" i="5" s="1"/>
  <c r="B83" i="5"/>
  <c r="O59" i="6"/>
  <c r="C10" i="9"/>
  <c r="R24" i="4"/>
  <c r="D24" i="4"/>
  <c r="B26" i="4"/>
  <c r="D13" i="5"/>
  <c r="H13" i="5"/>
  <c r="B18" i="5"/>
  <c r="H21" i="4"/>
  <c r="I77" i="5"/>
  <c r="H83" i="5"/>
  <c r="I83" i="5" s="1"/>
  <c r="L9" i="9" s="1"/>
  <c r="B109" i="5"/>
  <c r="D109" i="5" s="1"/>
  <c r="D103" i="5"/>
  <c r="H103" i="5"/>
  <c r="G59" i="6"/>
  <c r="I64" i="6" s="1"/>
  <c r="E12" i="6"/>
  <c r="D21" i="4"/>
  <c r="R21" i="4"/>
  <c r="D90" i="5"/>
  <c r="B96" i="5"/>
  <c r="D96" i="5" s="1"/>
  <c r="H90" i="5"/>
  <c r="P59" i="6"/>
  <c r="H10" i="9"/>
  <c r="J24" i="4"/>
  <c r="B31" i="5"/>
  <c r="D31" i="5" s="1"/>
  <c r="D18" i="5"/>
  <c r="F21" i="4"/>
  <c r="P26" i="4"/>
  <c r="N59" i="6"/>
  <c r="E83" i="5"/>
  <c r="J77" i="5"/>
  <c r="K77" i="5" s="1"/>
  <c r="B57" i="5"/>
  <c r="D57" i="5" s="1"/>
  <c r="D51" i="5"/>
  <c r="H51" i="5"/>
  <c r="E12" i="3"/>
  <c r="F12" i="3" s="1"/>
  <c r="F9" i="3"/>
  <c r="I25" i="5"/>
  <c r="H31" i="5"/>
  <c r="I31" i="5" s="1"/>
  <c r="D9" i="9" s="1"/>
  <c r="F10" i="9"/>
  <c r="H24" i="4"/>
  <c r="L22" i="4"/>
  <c r="J51" i="5"/>
  <c r="K51" i="5" s="1"/>
  <c r="E57" i="5"/>
  <c r="D83" i="5"/>
  <c r="J10" i="9"/>
  <c r="L24" i="4"/>
  <c r="D10" i="9"/>
  <c r="C26" i="4"/>
  <c r="F24" i="4"/>
  <c r="N26" i="4"/>
  <c r="Q18" i="4"/>
  <c r="H64" i="5"/>
  <c r="D64" i="5"/>
  <c r="B70" i="5"/>
  <c r="D70" i="5" s="1"/>
  <c r="H26" i="4"/>
  <c r="L11" i="9"/>
  <c r="E31" i="5"/>
  <c r="J25" i="5"/>
  <c r="K25" i="5" s="1"/>
  <c r="D39" i="5"/>
  <c r="H39" i="5"/>
  <c r="I39" i="5" s="1"/>
  <c r="H8" i="9"/>
  <c r="F8" i="9"/>
  <c r="G8" i="9" s="1"/>
  <c r="D13" i="9"/>
  <c r="D22" i="4"/>
  <c r="R22" i="4"/>
  <c r="B44" i="5"/>
  <c r="D44" i="5" s="1"/>
  <c r="D38" i="5"/>
  <c r="H38" i="5"/>
  <c r="N10" i="9"/>
  <c r="P11" i="9" s="1"/>
  <c r="P24" i="4"/>
  <c r="P15" i="9" l="1"/>
  <c r="P14" i="9" s="1"/>
  <c r="L15" i="9"/>
  <c r="N15" i="9"/>
  <c r="J15" i="9"/>
  <c r="J14" i="9" s="1"/>
  <c r="M15" i="9"/>
  <c r="H70" i="5"/>
  <c r="I70" i="5" s="1"/>
  <c r="J9" i="9" s="1"/>
  <c r="M9" i="9" s="1"/>
  <c r="I64" i="5"/>
  <c r="I90" i="5"/>
  <c r="H96" i="5"/>
  <c r="I96" i="5" s="1"/>
  <c r="N9" i="9" s="1"/>
  <c r="Q10" i="9"/>
  <c r="N11" i="9"/>
  <c r="Q11" i="9" s="1"/>
  <c r="J11" i="9"/>
  <c r="M11" i="9" s="1"/>
  <c r="M10" i="9"/>
  <c r="D26" i="4"/>
  <c r="R26" i="4"/>
  <c r="O9" i="9"/>
  <c r="L6" i="6"/>
  <c r="I8" i="9"/>
  <c r="F13" i="9"/>
  <c r="G13" i="9" s="1"/>
  <c r="O15" i="9"/>
  <c r="L14" i="9"/>
  <c r="H109" i="5"/>
  <c r="I109" i="5" s="1"/>
  <c r="P9" i="9" s="1"/>
  <c r="I103" i="5"/>
  <c r="E10" i="9"/>
  <c r="C12" i="9"/>
  <c r="R10" i="9"/>
  <c r="S10" i="9" s="1"/>
  <c r="C13" i="9"/>
  <c r="F26" i="4"/>
  <c r="E59" i="6"/>
  <c r="F15" i="9" s="1"/>
  <c r="H6" i="6"/>
  <c r="Q15" i="9"/>
  <c r="N14" i="9"/>
  <c r="R14" i="9"/>
  <c r="S14" i="9" s="1"/>
  <c r="I13" i="5"/>
  <c r="H18" i="5"/>
  <c r="I18" i="5" s="1"/>
  <c r="C9" i="9" s="1"/>
  <c r="O10" i="9"/>
  <c r="H44" i="5"/>
  <c r="I44" i="5" s="1"/>
  <c r="F9" i="9" s="1"/>
  <c r="I38" i="5"/>
  <c r="H13" i="9"/>
  <c r="G10" i="9"/>
  <c r="D12" i="9"/>
  <c r="D11" i="9"/>
  <c r="H57" i="5"/>
  <c r="I57" i="5" s="1"/>
  <c r="H9" i="9" s="1"/>
  <c r="I51" i="5"/>
  <c r="H12" i="9"/>
  <c r="H11" i="9"/>
  <c r="K11" i="9" s="1"/>
  <c r="K10" i="9"/>
  <c r="I10" i="9"/>
  <c r="F12" i="9"/>
  <c r="F11" i="9"/>
  <c r="M14" i="9" l="1"/>
  <c r="I9" i="9"/>
  <c r="I13" i="9"/>
  <c r="I12" i="9"/>
  <c r="R15" i="9"/>
  <c r="F14" i="9"/>
  <c r="F17" i="9" s="1"/>
  <c r="I11" i="9"/>
  <c r="P8" i="9"/>
  <c r="L8" i="9"/>
  <c r="J8" i="9"/>
  <c r="N8" i="9"/>
  <c r="Q9" i="9"/>
  <c r="R9" i="9"/>
  <c r="S9" i="9" s="1"/>
  <c r="E9" i="9"/>
  <c r="K9" i="9"/>
  <c r="E13" i="9"/>
  <c r="C23" i="9"/>
  <c r="R11" i="9"/>
  <c r="G11" i="9"/>
  <c r="O11" i="9"/>
  <c r="Q14" i="9"/>
  <c r="C17" i="9"/>
  <c r="E12" i="9"/>
  <c r="O14" i="9"/>
  <c r="D17" i="9"/>
  <c r="G12" i="9"/>
  <c r="G9" i="9"/>
  <c r="Q8" i="9" l="1"/>
  <c r="N13" i="9"/>
  <c r="N12" i="9"/>
  <c r="D23" i="9"/>
  <c r="E23" i="9"/>
  <c r="M8" i="9"/>
  <c r="J13" i="9"/>
  <c r="J12" i="9"/>
  <c r="K8" i="9"/>
  <c r="C18" i="9"/>
  <c r="E17" i="9"/>
  <c r="P13" i="9"/>
  <c r="R13" i="9" s="1"/>
  <c r="S13" i="9" s="1"/>
  <c r="R8" i="9"/>
  <c r="S8" i="9" s="1"/>
  <c r="P12" i="9"/>
  <c r="F18" i="9"/>
  <c r="F34" i="9" s="1"/>
  <c r="D18" i="9"/>
  <c r="G17" i="9"/>
  <c r="G14" i="9"/>
  <c r="O8" i="9"/>
  <c r="L13" i="9"/>
  <c r="L12" i="9"/>
  <c r="Q13" i="9" l="1"/>
  <c r="J17" i="9"/>
  <c r="M12" i="9"/>
  <c r="K12" i="9"/>
  <c r="F23" i="9"/>
  <c r="E18" i="9"/>
  <c r="C25" i="9"/>
  <c r="C34" i="9"/>
  <c r="C36" i="9"/>
  <c r="C24" i="9"/>
  <c r="C35" i="9"/>
  <c r="M13" i="9"/>
  <c r="K13" i="9"/>
  <c r="L17" i="9"/>
  <c r="O12" i="9"/>
  <c r="O13" i="9"/>
  <c r="P17" i="9"/>
  <c r="R12" i="9"/>
  <c r="S12" i="9" s="1"/>
  <c r="G18" i="9"/>
  <c r="D34" i="9"/>
  <c r="G34" i="9" s="1"/>
  <c r="D36" i="9"/>
  <c r="D25" i="9"/>
  <c r="D24" i="9"/>
  <c r="D35" i="9"/>
  <c r="Q12" i="9"/>
  <c r="N17" i="9"/>
  <c r="F25" i="9"/>
  <c r="F24" i="9"/>
  <c r="F36" i="9"/>
  <c r="F35" i="9"/>
  <c r="G25" i="9" l="1"/>
  <c r="M17" i="9"/>
  <c r="E35" i="9"/>
  <c r="L18" i="9"/>
  <c r="O17" i="9"/>
  <c r="G36" i="9"/>
  <c r="D37" i="9"/>
  <c r="Q17" i="9"/>
  <c r="N18" i="9"/>
  <c r="E24" i="9"/>
  <c r="P18" i="9"/>
  <c r="R17" i="9"/>
  <c r="S17" i="9" s="1"/>
  <c r="E36" i="9"/>
  <c r="C37" i="9"/>
  <c r="G35" i="9"/>
  <c r="E34" i="9"/>
  <c r="H23" i="9"/>
  <c r="F37" i="9"/>
  <c r="G24" i="9"/>
  <c r="E25" i="9"/>
  <c r="G23" i="9"/>
  <c r="G37" i="9" l="1"/>
  <c r="J23" i="9"/>
  <c r="K23" i="9"/>
  <c r="P35" i="9"/>
  <c r="P34" i="9"/>
  <c r="P36" i="9"/>
  <c r="R18" i="9"/>
  <c r="S18" i="9" s="1"/>
  <c r="O18" i="9"/>
  <c r="L35" i="9"/>
  <c r="L34" i="9"/>
  <c r="L36" i="9"/>
  <c r="E37" i="9"/>
  <c r="Q18" i="9"/>
  <c r="N35" i="9"/>
  <c r="N34" i="9"/>
  <c r="N36" i="9"/>
  <c r="I23" i="9"/>
  <c r="Q34" i="9" l="1"/>
  <c r="L23" i="9"/>
  <c r="M23" i="9"/>
  <c r="Q36" i="9"/>
  <c r="N37" i="9"/>
  <c r="S35" i="9"/>
  <c r="R35" i="9"/>
  <c r="P37" i="9"/>
  <c r="S36" i="9"/>
  <c r="R36" i="9"/>
  <c r="O36" i="9"/>
  <c r="L37" i="9"/>
  <c r="Q35" i="9"/>
  <c r="O34" i="9"/>
  <c r="S34" i="9"/>
  <c r="R34" i="9"/>
  <c r="O35" i="9"/>
  <c r="Q37" i="9" l="1"/>
  <c r="O37" i="9"/>
  <c r="S37" i="9"/>
  <c r="R37" i="9"/>
  <c r="N23" i="9"/>
  <c r="L25" i="9"/>
  <c r="L24" i="9"/>
  <c r="P23" i="9" l="1"/>
  <c r="Q23" i="9" s="1"/>
  <c r="N24" i="9"/>
  <c r="O24" i="9" s="1"/>
  <c r="N25" i="9"/>
  <c r="O25" i="9" s="1"/>
  <c r="O23" i="9"/>
  <c r="R23" i="9" l="1"/>
  <c r="S23" i="9"/>
  <c r="P24" i="9"/>
  <c r="P25" i="9"/>
  <c r="R25" i="9" l="1"/>
  <c r="S25" i="9"/>
  <c r="S24" i="9"/>
  <c r="R24" i="9"/>
  <c r="Q25" i="9"/>
  <c r="Q24" i="9"/>
  <c r="J59" i="6"/>
  <c r="I59" i="6"/>
  <c r="H15" i="9" s="1"/>
  <c r="H14" i="9" l="1"/>
  <c r="I15" i="9"/>
  <c r="K15" i="9"/>
  <c r="K14" i="9" l="1"/>
  <c r="H17" i="9"/>
  <c r="I14" i="9"/>
  <c r="J18" i="9" l="1"/>
  <c r="H18" i="9"/>
  <c r="I17" i="9"/>
  <c r="K17" i="9"/>
  <c r="K18" i="9" l="1"/>
  <c r="H35" i="9"/>
  <c r="H36" i="9"/>
  <c r="H25" i="9"/>
  <c r="H24" i="9"/>
  <c r="I18" i="9"/>
  <c r="H34" i="9"/>
  <c r="J24" i="9"/>
  <c r="M24" i="9" s="1"/>
  <c r="J25" i="9"/>
  <c r="M25" i="9" s="1"/>
  <c r="J34" i="9"/>
  <c r="M34" i="9" s="1"/>
  <c r="J36" i="9"/>
  <c r="M18" i="9"/>
  <c r="J35" i="9"/>
  <c r="M35" i="9" s="1"/>
  <c r="I34" i="9" l="1"/>
  <c r="K34" i="9"/>
  <c r="I24" i="9"/>
  <c r="K24" i="9"/>
  <c r="I25" i="9"/>
  <c r="K25" i="9"/>
  <c r="M36" i="9"/>
  <c r="J37" i="9"/>
  <c r="M37" i="9" s="1"/>
  <c r="K36" i="9"/>
  <c r="I36" i="9"/>
  <c r="H37" i="9"/>
  <c r="K35" i="9"/>
  <c r="I35" i="9"/>
  <c r="I37" i="9" l="1"/>
  <c r="K37" i="9"/>
</calcChain>
</file>

<file path=xl/sharedStrings.xml><?xml version="1.0" encoding="utf-8"?>
<sst xmlns="http://schemas.openxmlformats.org/spreadsheetml/2006/main" count="520" uniqueCount="292">
  <si>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</si>
  <si>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</si>
  <si>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</si>
  <si>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</si>
  <si>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</si>
  <si>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</si>
  <si>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</si>
  <si>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</si>
  <si>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</si>
  <si>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</si>
  <si>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</si>
  <si>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</si>
  <si>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</si>
  <si>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</si>
  <si>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</si>
  <si>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</si>
  <si>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</si>
  <si>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</si>
  <si>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</si>
  <si>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</si>
  <si>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</si>
  <si>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</si>
  <si>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</si>
  <si>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</si>
  <si>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</si>
  <si>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</si>
  <si>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</si>
  <si>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</si>
  <si>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</si>
  <si>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</si>
  <si>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</si>
  <si>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</si>
  <si>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</si>
  <si>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</si>
  <si>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</si>
  <si>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</si>
  <si>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</si>
  <si>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</si>
  <si>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</si>
  <si>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</si>
  <si>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</si>
  <si>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</si>
  <si>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</si>
  <si>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</si>
  <si>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</si>
  <si>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</si>
  <si>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</si>
  <si>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</si>
  <si>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</si>
  <si>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</si>
  <si>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</si>
  <si>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</si>
  <si>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</si>
  <si>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</si>
  <si>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</si>
  <si>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</si>
  <si>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</si>
  <si>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</si>
  <si>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</si>
  <si>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</si>
  <si>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</si>
  <si>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</si>
  <si>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17, 2023</t>
  </si>
  <si>
    <t>Institution:</t>
  </si>
  <si>
    <t>George Mason University</t>
  </si>
  <si>
    <t>Institution UNITID:</t>
  </si>
  <si>
    <t>247</t>
  </si>
  <si>
    <t>Individual responsible for plan</t>
  </si>
  <si>
    <t>Name(s) &amp; Title(s):</t>
  </si>
  <si>
    <t>Deb Dickenson, Executive Vice President for Finance &amp; Administration</t>
  </si>
  <si>
    <t>Email address(es):</t>
  </si>
  <si>
    <t>ddicken2@gmu.edu</t>
  </si>
  <si>
    <t>Telephone number(s):</t>
  </si>
  <si>
    <t>703-993-3767</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</si>
  <si>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</si>
  <si>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</si>
  <si>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</si>
  <si>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</si>
  <si>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</si>
  <si>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</si>
  <si>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</si>
  <si>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</si>
  <si>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</si>
  <si>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</si>
  <si>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</si>
  <si>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</si>
  <si>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</si>
  <si>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</si>
  <si>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</si>
  <si>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</si>
  <si>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</si>
  <si>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</si>
  <si>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</si>
  <si>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</si>
  <si>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</si>
  <si>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</si>
  <si>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</si>
  <si>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</si>
  <si>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</si>
  <si>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</si>
  <si>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</si>
  <si>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</si>
  <si>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</si>
  <si>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</si>
  <si>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</si>
  <si>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</si>
  <si>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</si>
  <si>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</si>
  <si>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</si>
  <si>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</si>
  <si>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</si>
  <si>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</si>
  <si>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</si>
  <si>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</si>
  <si>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</si>
  <si>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</si>
  <si>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</si>
  <si>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</si>
  <si>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</si>
  <si>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</si>
  <si>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</si>
  <si>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</si>
  <si>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</si>
  <si>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</si>
  <si>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</si>
  <si>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</si>
  <si>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</si>
  <si>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</si>
  <si>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</si>
  <si>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</si>
  <si>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</si>
  <si>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</si>
  <si>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</si>
  <si>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</si>
  <si>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</si>
  <si>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</si>
  <si>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</si>
  <si>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</si>
  <si>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</si>
  <si>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</si>
  <si>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</si>
  <si>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</si>
  <si>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</si>
  <si>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</si>
  <si>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</si>
  <si>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</si>
  <si>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</si>
  <si>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</si>
  <si>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</si>
  <si>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</si>
  <si>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</si>
  <si>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</si>
  <si>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</si>
  <si>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</si>
  <si>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</si>
  <si>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</si>
  <si>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</si>
  <si>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</si>
  <si>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</si>
  <si>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</si>
  <si>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</si>
  <si>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</si>
  <si>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</si>
  <si>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</si>
  <si>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</si>
  <si>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family val="2"/>
      </rPr>
      <t xml:space="preserve">                                                                  
</t>
    </r>
    <r>
      <rPr>
        <sz val="12"/>
        <color rgb="FF000000"/>
        <rFont val="Arial"/>
        <family val="2"/>
      </rPr>
      <t xml:space="preserve">Lines 5 and 6 are newly added to collect the estimated E&amp;G expenditures of 2022-23 and 2023-24 as baselines for Tab 5 Pro Forma.     
For the 2026-28 biennium and 2028-2030 biennium, total amounts should be provided as estimates of future expenditures on these items but delineation of reallocation vs. tuition revenue vs. GF does not need to be provided by the institution.
</t>
    </r>
    <r>
      <rPr>
        <sz val="12"/>
        <color rgb="FFFF0000"/>
        <rFont val="Arial"/>
        <family val="2"/>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family val="2"/>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</si>
  <si>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</si>
  <si>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</si>
  <si>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</si>
  <si>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</si>
  <si>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</si>
  <si>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</si>
  <si>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</si>
  <si>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</si>
  <si>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</si>
  <si>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</si>
  <si>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</si>
  <si>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</si>
  <si>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</si>
  <si>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</si>
  <si>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</si>
  <si>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</si>
  <si>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</si>
  <si>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</si>
  <si>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</si>
  <si>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</si>
  <si>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</si>
  <si>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</si>
  <si>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</si>
  <si>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</si>
  <si>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</si>
  <si>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</si>
  <si>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</si>
  <si>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3% annual state health insurance cost-Faculty</t>
  </si>
  <si>
    <t>3% annual state health insurance cost-Admin Faculty</t>
  </si>
  <si>
    <t>3% annual state health insurance cost-Classified Staff</t>
  </si>
  <si>
    <t>Increase Wage Salaries</t>
  </si>
  <si>
    <t>Increase CWS Salaries</t>
  </si>
  <si>
    <t>Increase Other Salaries</t>
  </si>
  <si>
    <t>Planned Budget Reductions</t>
  </si>
  <si>
    <t>Effort to reduce deficit  each year from FY24-FY26, with planned drawdown of reserves to offset E &amp; G budget deficit totaling $103.1M (FY23-FY26) , which is not sustainable.</t>
  </si>
  <si>
    <t>Retention Program</t>
  </si>
  <si>
    <t xml:space="preserve">Retirement Incentive Program </t>
  </si>
  <si>
    <t>Proj. $18M program implementation costs, with est. 50% compensation savings achieved @30% in FY25 ($5.4m)&amp; 70% in FY26 ($12.6m)</t>
  </si>
  <si>
    <t>Increase new Faculty positions</t>
  </si>
  <si>
    <t>Increase new Staff positions</t>
  </si>
  <si>
    <t>Inflationary non-personnel cost increases</t>
  </si>
  <si>
    <t>5.36% annual VITA charge increase</t>
  </si>
  <si>
    <t>Contractual services</t>
  </si>
  <si>
    <t>Utilities</t>
  </si>
  <si>
    <t>AE to E&amp;G Transfer</t>
  </si>
  <si>
    <t>Other Direct Expenses</t>
  </si>
  <si>
    <t>[Add lines &amp; descriptions here]</t>
  </si>
  <si>
    <t>Financial aid expansion</t>
  </si>
  <si>
    <t>Addt'l In-State Student Financial Aid from Tuition Rev</t>
  </si>
  <si>
    <t xml:space="preserve">In Scholarships &amp; Fellowships </t>
  </si>
  <si>
    <t>Addt'l Out-of-State Student Financial Aid from Tuition Rev</t>
  </si>
  <si>
    <t>Scholarships &amp; Fellowships</t>
  </si>
  <si>
    <t>New/expanded academic programs</t>
  </si>
  <si>
    <t>Other academic &amp; student support strategies &amp; initiatives</t>
  </si>
  <si>
    <t>Student success initiatives:</t>
  </si>
  <si>
    <t xml:space="preserve"> NGF 3% annual growth factor FY27-FY30/See Section C2.</t>
  </si>
  <si>
    <t>Other non-academic strategies &amp; initiatives</t>
  </si>
  <si>
    <t>Total Additional Funding Need</t>
  </si>
  <si>
    <t>Must not be greater than incremental Tuit Rev in Part 2</t>
  </si>
  <si>
    <t>If result is &lt; $0, please provide explanation in these fields.</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</si>
  <si>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</si>
  <si>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</si>
  <si>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</si>
  <si>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</si>
  <si>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</si>
  <si>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</si>
  <si>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</si>
  <si>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</si>
  <si>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</si>
  <si>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</si>
  <si>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</si>
  <si>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</si>
  <si>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</si>
  <si>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</si>
  <si>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</si>
  <si>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</si>
  <si>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</si>
  <si>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</si>
  <si>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</si>
  <si>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</si>
  <si>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</si>
  <si>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</si>
  <si>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</si>
  <si>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</si>
  <si>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</si>
  <si>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</si>
  <si>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</si>
  <si>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</si>
  <si>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</si>
  <si>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</si>
  <si>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Institution Name</t>
  </si>
  <si>
    <t>Priority Ranking</t>
  </si>
  <si>
    <t>Notes/Explanation
Please be brief; reference specific narrative question for more detail.</t>
  </si>
  <si>
    <t>Biennium 2024-2026 (7/1/24-6/30/26)</t>
  </si>
  <si>
    <t>Strategies (Match Academic-Financial Worksheet Short Title)</t>
  </si>
  <si>
    <t>Category
(Select best option from dropdown menu)</t>
  </si>
  <si>
    <t>GF Support</t>
  </si>
  <si>
    <t>Deliver a distinctive and inclusive student experience that fosters lifelong engagement</t>
  </si>
  <si>
    <t>Student Success</t>
  </si>
  <si>
    <t>1a) Financial Aid</t>
  </si>
  <si>
    <r>
      <rPr>
        <sz val="10"/>
        <color rgb="FF000000"/>
        <rFont val="Arial"/>
        <family val="2"/>
      </rPr>
      <t xml:space="preserve">State Aid-10% annual increase over FY24 w/goal of moving towards meeting 100% of unmet need and extending MVP grants to all students who are Pell-eligible;1/3 of 5% tuition increase for add'l instit aid (Prog. 108 additional resources needed).  </t>
    </r>
    <r>
      <rPr>
        <b/>
        <sz val="10"/>
        <color rgb="FF000000"/>
        <rFont val="Arial"/>
        <family val="2"/>
      </rPr>
      <t>See Section B; C1 &amp; C2</t>
    </r>
  </si>
  <si>
    <t>1b) Expand Access</t>
  </si>
  <si>
    <r>
      <rPr>
        <sz val="10"/>
        <color rgb="FF000000"/>
        <rFont val="Arial"/>
      </rPr>
      <t xml:space="preserve">1) Expand ADVANCE to more 2 yr instit-$200K; 2) Scale up EIP-$240K; 3) Launch pilot Direct Admissions to low income VA H.S. students-$1.1M; 4) Expand Bachelors to Accel. Masters programs-$300K;5) Increase online accessibility-$525K- all 50% GF;    </t>
    </r>
    <r>
      <rPr>
        <b/>
        <sz val="10"/>
        <color rgb="FF000000"/>
        <rFont val="Arial"/>
      </rPr>
      <t>See Sections B2 &amp; C2.</t>
    </r>
  </si>
  <si>
    <t>1c) Student Success Initiatives</t>
  </si>
  <si>
    <r>
      <rPr>
        <sz val="10"/>
        <color rgb="FF000000"/>
        <rFont val="Arial"/>
      </rPr>
      <t xml:space="preserve"> 1) New technologies (Salesforce )-consolidate into one platform $10.2M FY25; $3M-FY26;3) Integrated student support framework (advising; coaching; career)- Salesforce-$800K; 4) one-stop shop shared services-$1.5M; 5) Strengthen student wellbeing, mental health services-$1.5M;  (1-5 @ 50% GF) 6) Establish MasonWorks student employment program - $6M FY25 ; $10M-FY26 - 100% GF.</t>
    </r>
    <r>
      <rPr>
        <b/>
        <sz val="10"/>
        <color rgb="FF000000"/>
        <rFont val="Arial"/>
      </rPr>
      <t xml:space="preserve"> See Section B2 &amp; C2.</t>
    </r>
  </si>
  <si>
    <t>1d)  Unfunded Mandate-Virginia Military Survivors &amp; Dependent Education Program</t>
  </si>
  <si>
    <r>
      <t>State support  for VMSDEP tuition waivers &amp; mandatory student fee waivers currently funded from reallocated tuition revenues (FY23-$7.7M; Assume 30% annual increase given recent trends);</t>
    </r>
    <r>
      <rPr>
        <b/>
        <sz val="10"/>
        <rFont val="Arial"/>
        <family val="2"/>
      </rPr>
      <t xml:space="preserve"> See Section K1-Policy Change.</t>
    </r>
  </si>
  <si>
    <t>Expand the impact of Mason's research, scholarship, and creative enterprise</t>
  </si>
  <si>
    <t>Research</t>
  </si>
  <si>
    <t>See Section I1.</t>
  </si>
  <si>
    <t>4a)Support/ Infrastructure</t>
  </si>
  <si>
    <t>Research compute: 1) Annual infrastructure refresh -$1M/yr; 2) one-time server infrastructure replacement cost-$6M (FY25); 3) Core Lab Mgrs-$600K/yr; 4) Mgmt &amp; student support-$1.5M/yr; 5) Shared services operational support-$750K/yr</t>
  </si>
  <si>
    <t>4b) Scholarship</t>
  </si>
  <si>
    <t>Annual costs: Eminent Scholars ($2M); Experiential Education-OSCAR ($750K)</t>
  </si>
  <si>
    <t xml:space="preserve">Expand partnerships for economic and social impact.
 </t>
  </si>
  <si>
    <t>Economic Development</t>
  </si>
  <si>
    <t xml:space="preserve"> Annual costs: Coulter Program-Mason entrepreneurship training &amp; support to commercialize Institute technology ($4M); Small Business Development &amp; Mason Enterprise Center Mentor funding ($1.4M)</t>
  </si>
  <si>
    <t xml:space="preserve">Invest in faculty and staff success 
</t>
  </si>
  <si>
    <t>Cost efficiency</t>
  </si>
  <si>
    <t>See Section D5.</t>
  </si>
  <si>
    <t>2a) Equitable Compensation</t>
  </si>
  <si>
    <r>
      <t xml:space="preserve">Variance to achieve 100% State match on 2% sal cost-share; address one-year compensation lag </t>
    </r>
    <r>
      <rPr>
        <b/>
        <sz val="10"/>
        <rFont val="Arial"/>
        <family val="2"/>
      </rPr>
      <t>(See Section K1-Policy Change.)</t>
    </r>
  </si>
  <si>
    <t>2b) Efficient systems, infrastructure, reduce manual processes</t>
  </si>
  <si>
    <t>1) Reduce manual workflow-$2M/yr; 2) New HR app tracking-$1M/Yr1; $200K/Yr 2 3) New identity mgmnt &amp; access system-$1M/Yr1; $1.5M/Yr2 4) Budget Development &amp; Planning Tool-$1.5M-1x (NB: Salesforce  in Strategy #1)</t>
  </si>
  <si>
    <t>2c)  HEETF-Increased institutional support</t>
  </si>
  <si>
    <t>See Section 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</si>
</sst>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3" formatCode="_(* #,##0.00_);_(* \(#,##0.00\);_(* &quot;-&quot;??_);_(@_)"/>
    <numFmt numFmtId="164" formatCode="&quot;$&quot;#,##0"/>
    <numFmt numFmtId="165" formatCode="0.0%"/>
    <numFmt numFmtId="166" formatCode="_(* #,##0_);_(* \(#,##0\);_(* &quot;-&quot;??_);_(@_)"/>
    <numFmt numFmtId="167" formatCode="&quot;$&quot;#,##0.00"/>
    <numFmt numFmtId="168" formatCode="0.0000%"/>
    <numFmt numFmtId="169" formatCode="0.0"/>
  </numFmts>
  <fonts count="59">
    <font>
      <sz val="11"/>
      <color theme="1"/>
      <name val="Calibri"/>
      <family val="2"/>
      <scheme val="minor"/>
    </font>
    <font>
      <sz val="11"/>
      <color theme="1"/>
      <name val="Calibri"/>
      <family val="2"/>
      <scheme val="minor"/>
    </font>
    <font>
      <sz val="10"/>
      <name val="Arial"/>
      <family val="2"/>
    </font>
    <font>
      <b/>
      <sz val="16"/>
      <name val="Arial"/>
      <family val="2"/>
    </font>
    <font>
      <b/>
      <i/>
      <sz val="12"/>
      <name val="Arial"/>
      <family val="2"/>
    </font>
    <font>
      <b/>
      <sz val="12"/>
      <name val="Arial"/>
      <family val="2"/>
    </font>
    <font>
      <b/>
      <sz val="13"/>
      <name val="Arial"/>
      <family val="2"/>
    </font>
    <font>
      <sz val="11"/>
      <name val="Arial"/>
      <family val="2"/>
    </font>
    <font>
      <i/>
      <sz val="12"/>
      <name val="Arial"/>
      <family val="2"/>
    </font>
    <font>
      <b/>
      <sz val="11"/>
      <name val="Arial"/>
      <family val="2"/>
    </font>
    <font>
      <sz val="11"/>
      <color theme="1"/>
      <name val="Arial"/>
      <family val="2"/>
    </font>
    <font>
      <b/>
      <sz val="14"/>
      <color rgb="FFFF0000"/>
      <name val="Arial"/>
      <family val="2"/>
    </font>
    <font>
      <sz val="11"/>
      <color rgb="FF000000"/>
      <name val="Arial"/>
      <family val="2"/>
    </font>
    <font>
      <sz val="12"/>
      <name val="Arial"/>
      <family val="2"/>
    </font>
    <font>
      <u/>
      <sz val="11"/>
      <name val="Arial"/>
      <family val="2"/>
    </font>
    <font>
      <b/>
      <sz val="13"/>
      <color rgb="FF333333"/>
      <name val="Arial"/>
      <family val="2"/>
    </font>
    <font>
      <sz val="13"/>
      <name val="Arial"/>
      <family val="2"/>
    </font>
    <font>
      <b/>
      <i/>
      <sz val="11"/>
      <name val="Arial"/>
      <family val="2"/>
    </font>
    <font>
      <sz val="12"/>
      <color rgb="FF000000"/>
      <name val="Arial"/>
      <family val="2"/>
    </font>
    <font>
      <b/>
      <sz val="12"/>
      <color rgb="FF000000"/>
      <name val="Arial"/>
      <family val="2"/>
    </font>
    <font>
      <i/>
      <sz val="12"/>
      <color theme="1"/>
      <name val="Arial"/>
      <family val="2"/>
    </font>
    <font>
      <sz val="12"/>
      <color theme="1"/>
      <name val="Arial"/>
      <family val="2"/>
    </font>
    <font>
      <b/>
      <sz val="11"/>
      <color rgb="FF000000"/>
      <name val="Arial"/>
      <family val="2"/>
    </font>
    <font>
      <b/>
      <i/>
      <sz val="13"/>
      <name val="Arial"/>
      <family val="2"/>
    </font>
    <font>
      <i/>
      <sz val="11"/>
      <color rgb="FF333333"/>
      <name val="Arial"/>
      <family val="2"/>
    </font>
    <font>
      <i/>
      <sz val="11"/>
      <name val="Arial"/>
      <family val="2"/>
    </font>
    <font>
      <b/>
      <i/>
      <sz val="20"/>
      <name val="Arial"/>
      <family val="2"/>
    </font>
    <font>
      <b/>
      <sz val="20"/>
      <name val="Arial"/>
      <family val="2"/>
    </font>
    <font>
      <b/>
      <i/>
      <sz val="16"/>
      <name val="Arial"/>
      <family val="2"/>
    </font>
    <font>
      <sz val="16"/>
      <name val="Arial"/>
      <family val="2"/>
    </font>
    <font>
      <u/>
      <sz val="10"/>
      <color theme="10"/>
      <name val="Arial"/>
      <family val="2"/>
    </font>
    <font>
      <b/>
      <sz val="18"/>
      <color theme="1"/>
      <name val="Arial"/>
      <family val="2"/>
    </font>
    <font>
      <sz val="18"/>
      <color theme="1"/>
      <name val="Arial"/>
      <family val="2"/>
    </font>
    <font>
      <b/>
      <i/>
      <sz val="18"/>
      <color theme="1"/>
      <name val="Arial"/>
      <family val="2"/>
    </font>
    <font>
      <b/>
      <i/>
      <sz val="12"/>
      <color theme="1"/>
      <name val="Arial"/>
      <family val="2"/>
    </font>
    <font>
      <b/>
      <sz val="14"/>
      <color theme="1"/>
      <name val="Arial"/>
      <family val="2"/>
    </font>
    <font>
      <b/>
      <i/>
      <sz val="18"/>
      <name val="Arial"/>
      <family val="2"/>
    </font>
    <font>
      <sz val="12"/>
      <color rgb="FFFF0000"/>
      <name val="Arial"/>
      <family val="2"/>
    </font>
    <font>
      <b/>
      <sz val="10"/>
      <name val="Arial"/>
      <family val="2"/>
    </font>
    <font>
      <b/>
      <i/>
      <sz val="10"/>
      <name val="Arial"/>
      <family val="2"/>
    </font>
    <font>
      <sz val="10"/>
      <color theme="1"/>
      <name val="Arial"/>
      <family val="2"/>
    </font>
    <font>
      <sz val="20"/>
      <color rgb="FFFF0000"/>
      <name val="Arial"/>
      <family val="2"/>
    </font>
    <font>
      <i/>
      <sz val="11"/>
      <color theme="1"/>
      <name val="Arial"/>
      <family val="2"/>
    </font>
    <font>
      <b/>
      <i/>
      <sz val="11"/>
      <color theme="1"/>
      <name val="Arial"/>
      <family val="2"/>
    </font>
    <font>
      <i/>
      <sz val="11"/>
      <color rgb="FFFF0000"/>
      <name val="Arial"/>
      <family val="2"/>
    </font>
    <font>
      <b/>
      <sz val="12"/>
      <color theme="1"/>
      <name val="Arial"/>
      <family val="2"/>
    </font>
    <font>
      <b/>
      <sz val="16"/>
      <color theme="1"/>
      <name val="Arial"/>
      <family val="2"/>
    </font>
    <font>
      <sz val="10"/>
      <color rgb="FFFF0000"/>
      <name val="Arial"/>
      <family val="2"/>
    </font>
    <font>
      <sz val="10"/>
      <color theme="0"/>
      <name val="Arial"/>
      <family val="2"/>
    </font>
    <font>
      <b/>
      <sz val="12"/>
      <color indexed="8"/>
      <name val="Arial"/>
      <family val="2"/>
    </font>
    <font>
      <b/>
      <sz val="14"/>
      <name val="Arial"/>
      <family val="2"/>
    </font>
    <font>
      <b/>
      <sz val="10"/>
      <color indexed="8"/>
      <name val="Arial"/>
      <family val="2"/>
    </font>
    <font>
      <b/>
      <sz val="12"/>
      <color rgb="FF000000"/>
      <name val="Calibri"/>
      <family val="2"/>
    </font>
    <font>
      <b/>
      <i/>
      <sz val="12"/>
      <color rgb="FF000000"/>
      <name val="Calibri"/>
      <family val="2"/>
    </font>
    <font>
      <b/>
      <i/>
      <sz val="11"/>
      <color rgb="FF000000"/>
      <name val="Arial"/>
      <family val="2"/>
    </font>
    <font>
      <sz val="10"/>
      <color rgb="FF000000"/>
      <name val="Arial"/>
      <family val="2"/>
    </font>
    <font>
      <b/>
      <sz val="10"/>
      <color rgb="FF000000"/>
      <name val="Arial"/>
      <family val="2"/>
    </font>
    <font>
      <sz val="10"/>
      <color rgb="FF000000"/>
      <name val="Arial"/>
    </font>
    <font>
      <b/>
      <sz val="10"/>
      <color rgb="FF000000"/>
      <name val="Arial"/>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indexed="22"/>
        <bgColor indexed="64"/>
      </patternFill>
    </fill>
    <fill>
      <patternFill patternType="solid">
        <fgColor rgb="FFBFBFBF"/>
        <bgColor indexed="64"/>
      </patternFill>
    </fill>
    <fill>
      <patternFill patternType="solid">
        <fgColor rgb="FFFFFFFF"/>
        <bgColor indexed="64"/>
      </patternFill>
    </fill>
  </fills>
  <borders count="68">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top/>
      <bottom style="thin">
        <color indexed="64"/>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64"/>
      </left>
      <right/>
      <top style="thin">
        <color auto="1"/>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thin">
        <color auto="1"/>
      </top>
      <bottom style="medium">
        <color auto="1"/>
      </bottom>
      <diagonal/>
    </border>
    <border>
      <left style="medium">
        <color indexed="64"/>
      </left>
      <right style="medium">
        <color indexed="64"/>
      </right>
      <top/>
      <bottom style="medium">
        <color indexed="64"/>
      </bottom>
      <diagonal/>
    </border>
    <border>
      <left style="medium">
        <color auto="1"/>
      </left>
      <right/>
      <top style="thin">
        <color auto="1"/>
      </top>
      <bottom style="medium">
        <color auto="1"/>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auto="1"/>
      </left>
      <right style="thin">
        <color rgb="FF000000"/>
      </right>
      <top style="medium">
        <color auto="1"/>
      </top>
      <bottom/>
      <diagonal/>
    </border>
    <border>
      <left style="thin">
        <color rgb="FF000000"/>
      </left>
      <right style="medium">
        <color indexed="64"/>
      </right>
      <top style="medium">
        <color indexed="64"/>
      </top>
      <bottom style="thin">
        <color rgb="FF000000"/>
      </bottom>
      <diagonal/>
    </border>
    <border>
      <left style="medium">
        <color auto="1"/>
      </left>
      <right style="thin">
        <color rgb="FF000000"/>
      </right>
      <top/>
      <bottom/>
      <diagonal/>
    </border>
    <border>
      <left style="thin">
        <color rgb="FF000000"/>
      </left>
      <right style="medium">
        <color indexed="64"/>
      </right>
      <top style="thin">
        <color rgb="FF000000"/>
      </top>
      <bottom style="thin">
        <color rgb="FF000000"/>
      </bottom>
      <diagonal/>
    </border>
    <border>
      <left style="thick">
        <color auto="1"/>
      </left>
      <right/>
      <top style="medium">
        <color auto="1"/>
      </top>
      <bottom style="medium">
        <color auto="1"/>
      </bottom>
      <diagonal/>
    </border>
    <border>
      <left style="medium">
        <color auto="1"/>
      </left>
      <right style="thin">
        <color rgb="FF000000"/>
      </right>
      <top/>
      <bottom style="medium">
        <color auto="1"/>
      </bottom>
      <diagonal/>
    </border>
    <border>
      <left/>
      <right/>
      <top/>
      <bottom style="thin">
        <color rgb="FF000000"/>
      </bottom>
      <diagonal/>
    </border>
    <border>
      <left style="thin">
        <color auto="1"/>
      </left>
      <right/>
      <top style="medium">
        <color auto="1"/>
      </top>
      <bottom/>
      <diagonal/>
    </border>
    <border>
      <left style="thin">
        <color auto="1"/>
      </left>
      <right style="medium">
        <color indexed="64"/>
      </right>
      <top/>
      <bottom style="thin">
        <color auto="1"/>
      </bottom>
      <diagonal/>
    </border>
    <border>
      <left style="thin">
        <color rgb="FF000000"/>
      </left>
      <right style="thin">
        <color auto="1"/>
      </right>
      <top style="thin">
        <color rgb="FF000000"/>
      </top>
      <bottom style="thin">
        <color indexed="64"/>
      </bottom>
      <diagonal/>
    </border>
    <border>
      <left style="thin">
        <color rgb="FF000000"/>
      </left>
      <right style="thin">
        <color auto="1"/>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medium">
        <color indexed="64"/>
      </top>
      <bottom/>
      <diagonal/>
    </border>
    <border>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auto="1"/>
      </right>
      <top/>
      <bottom style="thin">
        <color auto="1"/>
      </bottom>
      <diagonal/>
    </border>
    <border>
      <left/>
      <right style="medium">
        <color indexed="64"/>
      </right>
      <top style="thin">
        <color indexed="64"/>
      </top>
      <bottom/>
      <diagonal/>
    </border>
    <border>
      <left/>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30" fillId="0" borderId="0" applyNumberFormat="0" applyFill="0" applyBorder="0" applyAlignment="0" applyProtection="0"/>
    <xf numFmtId="9" fontId="2" fillId="0" borderId="0" applyFont="0" applyFill="0" applyBorder="0" applyAlignment="0" applyProtection="0"/>
    <xf numFmtId="0" fontId="1" fillId="0" borderId="0"/>
    <xf numFmtId="0" fontId="2" fillId="0" borderId="0"/>
    <xf numFmtId="43" fontId="2" fillId="0" borderId="0" applyFont="0" applyFill="0" applyBorder="0" applyAlignment="0" applyProtection="0"/>
  </cellStyleXfs>
  <cellXfs count="489">
    <xf numFmtId="0" fontId="0" fillId="0" borderId="0" xfId="0"/>
    <xf numFmtId="0" fontId="3" fillId="0" borderId="1" xfId="3" applyFont="1" applyBorder="1" applyAlignment="1">
      <alignment horizontal="left" vertical="top" wrapText="1"/>
    </xf>
    <xf numFmtId="0" fontId="4" fillId="0" borderId="1" xfId="3" applyFont="1" applyBorder="1" applyAlignment="1">
      <alignment horizontal="left" vertical="top" wrapText="1"/>
    </xf>
    <xf numFmtId="0" fontId="5" fillId="0" borderId="1" xfId="3" applyFont="1" applyBorder="1" applyAlignment="1">
      <alignment horizontal="left" vertical="top" wrapText="1"/>
    </xf>
    <xf numFmtId="0" fontId="6" fillId="2" borderId="2" xfId="3" applyFont="1" applyFill="1" applyBorder="1" applyAlignment="1">
      <alignment horizontal="left" vertical="top" wrapText="1"/>
    </xf>
    <xf numFmtId="0" fontId="7" fillId="0" borderId="2" xfId="3" applyFont="1" applyBorder="1" applyAlignment="1">
      <alignment horizontal="left" vertical="center" wrapText="1"/>
    </xf>
    <xf numFmtId="0" fontId="7" fillId="0" borderId="0" xfId="3" applyFont="1" applyAlignment="1">
      <alignment horizontal="left" vertical="center" wrapText="1"/>
    </xf>
    <xf numFmtId="0" fontId="8" fillId="0" borderId="0" xfId="3" applyFont="1" applyAlignment="1">
      <alignment horizontal="left" vertical="top" wrapText="1"/>
    </xf>
    <xf numFmtId="0" fontId="7" fillId="0" borderId="3" xfId="3" applyFont="1" applyBorder="1" applyAlignment="1">
      <alignment horizontal="left" vertical="center" wrapText="1"/>
    </xf>
    <xf numFmtId="0" fontId="7" fillId="0" borderId="1" xfId="3" applyFont="1" applyBorder="1" applyAlignment="1">
      <alignment horizontal="left" vertical="center" wrapText="1"/>
    </xf>
    <xf numFmtId="0" fontId="11" fillId="2" borderId="4" xfId="3" applyFont="1" applyFill="1" applyBorder="1" applyAlignment="1">
      <alignment horizontal="left" vertical="center" wrapText="1"/>
    </xf>
    <xf numFmtId="0" fontId="6" fillId="2" borderId="2" xfId="3" applyFont="1" applyFill="1" applyBorder="1" applyAlignment="1">
      <alignment horizontal="left" vertical="center" wrapText="1"/>
    </xf>
    <xf numFmtId="0" fontId="12" fillId="0" borderId="2" xfId="3" applyFont="1" applyBorder="1" applyAlignment="1">
      <alignment horizontal="left" vertical="center" wrapText="1"/>
    </xf>
    <xf numFmtId="0" fontId="13" fillId="0" borderId="0" xfId="3" applyFont="1" applyAlignment="1">
      <alignment horizontal="left" vertical="center" wrapText="1"/>
    </xf>
    <xf numFmtId="0" fontId="15" fillId="2" borderId="2" xfId="3" applyFont="1" applyFill="1" applyBorder="1" applyAlignment="1">
      <alignment horizontal="left" vertical="center" wrapText="1"/>
    </xf>
    <xf numFmtId="0" fontId="16" fillId="0" borderId="0" xfId="3" applyFont="1" applyAlignment="1">
      <alignment horizontal="left" vertical="center" wrapText="1"/>
    </xf>
    <xf numFmtId="0" fontId="13" fillId="3" borderId="3" xfId="3" applyFont="1" applyFill="1" applyBorder="1" applyAlignment="1">
      <alignment vertical="center" wrapText="1"/>
    </xf>
    <xf numFmtId="0" fontId="5" fillId="3" borderId="0" xfId="3" applyFont="1" applyFill="1" applyAlignment="1">
      <alignment vertical="center" wrapText="1"/>
    </xf>
    <xf numFmtId="0" fontId="13" fillId="3" borderId="5" xfId="3" applyFont="1" applyFill="1" applyBorder="1" applyAlignment="1">
      <alignment vertical="center" wrapText="1"/>
    </xf>
    <xf numFmtId="0" fontId="7" fillId="0" borderId="2" xfId="3" applyFont="1" applyBorder="1" applyAlignment="1">
      <alignment horizontal="left" vertical="top" wrapText="1"/>
    </xf>
    <xf numFmtId="0" fontId="18" fillId="0" borderId="3" xfId="3" applyFont="1" applyBorder="1" applyAlignment="1">
      <alignment horizontal="left" vertical="top" wrapText="1"/>
    </xf>
    <xf numFmtId="0" fontId="7" fillId="0" borderId="1" xfId="3" applyFont="1" applyBorder="1" applyAlignment="1">
      <alignment horizontal="left" vertical="top" wrapText="1"/>
    </xf>
    <xf numFmtId="0" fontId="7" fillId="0" borderId="6" xfId="3" applyFont="1" applyBorder="1" applyAlignment="1">
      <alignment horizontal="left" vertical="top" wrapText="1"/>
    </xf>
    <xf numFmtId="0" fontId="20" fillId="0" borderId="7" xfId="4" applyFont="1" applyBorder="1" applyAlignment="1">
      <alignment vertical="center" wrapText="1"/>
    </xf>
    <xf numFmtId="0" fontId="21" fillId="0" borderId="2" xfId="4" applyFont="1" applyBorder="1" applyAlignment="1">
      <alignment vertical="center" wrapText="1"/>
    </xf>
    <xf numFmtId="0" fontId="20" fillId="0" borderId="0" xfId="4" applyFont="1" applyAlignment="1">
      <alignment vertical="center" wrapText="1"/>
    </xf>
    <xf numFmtId="0" fontId="21" fillId="0" borderId="8" xfId="4" applyFont="1" applyBorder="1" applyAlignment="1">
      <alignment vertical="center" wrapText="1"/>
    </xf>
    <xf numFmtId="0" fontId="23" fillId="2" borderId="2" xfId="3" applyFont="1" applyFill="1" applyBorder="1" applyAlignment="1">
      <alignment horizontal="left" vertical="center" wrapText="1"/>
    </xf>
    <xf numFmtId="0" fontId="24" fillId="0" borderId="1" xfId="3" applyFont="1" applyBorder="1" applyAlignment="1">
      <alignment horizontal="left" vertical="center" wrapText="1"/>
    </xf>
    <xf numFmtId="0" fontId="25" fillId="0" borderId="0" xfId="3" applyFont="1" applyAlignment="1">
      <alignment horizontal="left" vertical="center" wrapText="1"/>
    </xf>
    <xf numFmtId="0" fontId="25" fillId="0" borderId="1" xfId="3" applyFont="1" applyBorder="1" applyAlignment="1">
      <alignment horizontal="left" vertical="center" wrapText="1"/>
    </xf>
    <xf numFmtId="0" fontId="13" fillId="0" borderId="1" xfId="3" applyFont="1" applyBorder="1" applyAlignment="1">
      <alignment horizontal="left" vertical="top" wrapText="1"/>
    </xf>
    <xf numFmtId="0" fontId="13" fillId="0" borderId="9" xfId="3" applyFont="1" applyBorder="1" applyAlignment="1">
      <alignment horizontal="left" vertical="top" wrapText="1"/>
    </xf>
    <xf numFmtId="0" fontId="13" fillId="0" borderId="0" xfId="3" applyFont="1" applyAlignment="1">
      <alignment horizontal="left" vertical="top" wrapText="1"/>
    </xf>
    <xf numFmtId="0" fontId="2" fillId="0" borderId="0" xfId="4" applyAlignment="1">
      <alignment vertical="center"/>
    </xf>
    <xf numFmtId="0" fontId="27" fillId="0" borderId="0" xfId="4" applyFont="1" applyAlignment="1">
      <alignment horizontal="left" vertical="center"/>
    </xf>
    <xf numFmtId="0" fontId="29" fillId="0" borderId="0" xfId="4" applyFont="1" applyAlignment="1">
      <alignment vertical="center"/>
    </xf>
    <xf numFmtId="0" fontId="2" fillId="0" borderId="0" xfId="4"/>
    <xf numFmtId="0" fontId="31" fillId="3" borderId="0" xfId="4" applyFont="1" applyFill="1"/>
    <xf numFmtId="0" fontId="32" fillId="3" borderId="0" xfId="4" applyFont="1" applyFill="1"/>
    <xf numFmtId="0" fontId="2" fillId="3" borderId="0" xfId="4" applyFill="1"/>
    <xf numFmtId="0" fontId="33" fillId="3" borderId="0" xfId="4" applyFont="1" applyFill="1" applyAlignment="1">
      <alignment vertical="center" wrapText="1"/>
    </xf>
    <xf numFmtId="0" fontId="21" fillId="3" borderId="0" xfId="4" applyFont="1" applyFill="1"/>
    <xf numFmtId="0" fontId="21" fillId="3" borderId="0" xfId="4" applyFont="1" applyFill="1" applyAlignment="1">
      <alignment wrapText="1"/>
    </xf>
    <xf numFmtId="0" fontId="21" fillId="5" borderId="3" xfId="4" applyFont="1" applyFill="1" applyBorder="1" applyAlignment="1">
      <alignment horizontal="center" wrapText="1"/>
    </xf>
    <xf numFmtId="0" fontId="21" fillId="5" borderId="1" xfId="4" applyFont="1" applyFill="1" applyBorder="1" applyAlignment="1">
      <alignment horizontal="center" wrapText="1"/>
    </xf>
    <xf numFmtId="0" fontId="21" fillId="5" borderId="17" xfId="4" applyFont="1" applyFill="1" applyBorder="1" applyAlignment="1">
      <alignment horizontal="center" wrapText="1"/>
    </xf>
    <xf numFmtId="0" fontId="21" fillId="5" borderId="18" xfId="4" applyFont="1" applyFill="1" applyBorder="1" applyAlignment="1">
      <alignment horizontal="center" wrapText="1"/>
    </xf>
    <xf numFmtId="0" fontId="2" fillId="0" borderId="17" xfId="4" applyBorder="1"/>
    <xf numFmtId="164" fontId="21" fillId="0" borderId="3" xfId="4" applyNumberFormat="1" applyFont="1" applyBorder="1" applyAlignment="1">
      <alignment horizontal="right" wrapText="1"/>
    </xf>
    <xf numFmtId="164" fontId="21" fillId="0" borderId="21" xfId="0" applyNumberFormat="1" applyFont="1" applyBorder="1" applyAlignment="1">
      <alignment horizontal="right" wrapText="1"/>
    </xf>
    <xf numFmtId="165" fontId="2" fillId="5" borderId="18" xfId="3" applyNumberFormat="1" applyFill="1" applyBorder="1" applyAlignment="1" applyProtection="1">
      <alignment horizontal="right"/>
      <protection locked="0"/>
    </xf>
    <xf numFmtId="0" fontId="2" fillId="0" borderId="21" xfId="4" applyBorder="1"/>
    <xf numFmtId="164" fontId="21" fillId="0" borderId="1" xfId="4" applyNumberFormat="1" applyFont="1" applyBorder="1" applyAlignment="1">
      <alignment horizontal="right" wrapText="1"/>
    </xf>
    <xf numFmtId="165" fontId="2" fillId="5" borderId="22" xfId="3" applyNumberFormat="1" applyFill="1" applyBorder="1" applyAlignment="1" applyProtection="1">
      <alignment horizontal="right"/>
      <protection locked="0"/>
    </xf>
    <xf numFmtId="0" fontId="2" fillId="0" borderId="23" xfId="4" applyBorder="1"/>
    <xf numFmtId="164" fontId="21" fillId="0" borderId="6" xfId="0" applyNumberFormat="1" applyFont="1" applyBorder="1" applyAlignment="1">
      <alignment horizontal="right" wrapText="1"/>
    </xf>
    <xf numFmtId="164" fontId="21" fillId="0" borderId="23" xfId="0" applyNumberFormat="1" applyFont="1" applyBorder="1" applyAlignment="1">
      <alignment horizontal="right" wrapText="1"/>
    </xf>
    <xf numFmtId="165" fontId="2" fillId="5" borderId="5" xfId="3" applyNumberFormat="1" applyFill="1" applyBorder="1" applyAlignment="1" applyProtection="1">
      <alignment horizontal="right"/>
      <protection locked="0"/>
    </xf>
    <xf numFmtId="0" fontId="2" fillId="5" borderId="19" xfId="4" applyFill="1" applyBorder="1"/>
    <xf numFmtId="164" fontId="21" fillId="5" borderId="2" xfId="4" applyNumberFormat="1" applyFont="1" applyFill="1" applyBorder="1" applyAlignment="1">
      <alignment horizontal="right" wrapText="1"/>
    </xf>
    <xf numFmtId="164" fontId="21" fillId="5" borderId="19" xfId="4" applyNumberFormat="1" applyFont="1" applyFill="1" applyBorder="1" applyAlignment="1">
      <alignment horizontal="right" wrapText="1"/>
    </xf>
    <xf numFmtId="164" fontId="21" fillId="5" borderId="19" xfId="0" applyNumberFormat="1" applyFont="1" applyFill="1" applyBorder="1" applyAlignment="1">
      <alignment horizontal="right" wrapText="1"/>
    </xf>
    <xf numFmtId="164" fontId="21" fillId="0" borderId="17" xfId="0" applyNumberFormat="1" applyFont="1" applyBorder="1" applyAlignment="1">
      <alignment horizontal="right" wrapText="1"/>
    </xf>
    <xf numFmtId="0" fontId="13" fillId="0" borderId="0" xfId="4" applyFont="1"/>
    <xf numFmtId="0" fontId="36" fillId="0" borderId="0" xfId="3" applyFont="1" applyAlignment="1">
      <alignment vertical="center"/>
    </xf>
    <xf numFmtId="165" fontId="36" fillId="0" borderId="0" xfId="6" applyNumberFormat="1" applyFont="1" applyAlignment="1">
      <alignment vertical="center"/>
    </xf>
    <xf numFmtId="0" fontId="36" fillId="0" borderId="0" xfId="3" applyFont="1" applyAlignment="1">
      <alignment horizontal="left" vertical="center"/>
    </xf>
    <xf numFmtId="0" fontId="21" fillId="0" borderId="0" xfId="3" applyFont="1" applyAlignment="1">
      <alignment horizontal="left" vertical="center" wrapText="1"/>
    </xf>
    <xf numFmtId="0" fontId="38" fillId="5" borderId="2" xfId="3" applyFont="1" applyFill="1" applyBorder="1" applyAlignment="1">
      <alignment horizontal="center"/>
    </xf>
    <xf numFmtId="165" fontId="38" fillId="5" borderId="2" xfId="6" applyNumberFormat="1" applyFont="1" applyFill="1" applyBorder="1" applyAlignment="1">
      <alignment horizontal="center"/>
    </xf>
    <xf numFmtId="0" fontId="38" fillId="5" borderId="19" xfId="3" applyFont="1" applyFill="1" applyBorder="1" applyAlignment="1">
      <alignment horizontal="center"/>
    </xf>
    <xf numFmtId="0" fontId="38" fillId="5" borderId="2" xfId="3" applyFont="1" applyFill="1" applyBorder="1" applyAlignment="1">
      <alignment horizontal="center" vertical="center" wrapText="1"/>
    </xf>
    <xf numFmtId="165" fontId="38" fillId="5" borderId="8" xfId="6" applyNumberFormat="1" applyFont="1" applyFill="1" applyBorder="1" applyAlignment="1">
      <alignment horizontal="center" vertical="center"/>
    </xf>
    <xf numFmtId="9" fontId="38" fillId="0" borderId="8" xfId="6" applyFont="1" applyFill="1" applyBorder="1" applyAlignment="1">
      <alignment horizontal="center" vertical="center"/>
    </xf>
    <xf numFmtId="9" fontId="38" fillId="5" borderId="0" xfId="6" applyFont="1" applyFill="1" applyBorder="1" applyAlignment="1">
      <alignment horizontal="center" vertical="center"/>
    </xf>
    <xf numFmtId="0" fontId="39" fillId="0" borderId="2" xfId="3" applyFont="1" applyBorder="1"/>
    <xf numFmtId="165" fontId="0" fillId="5" borderId="22" xfId="6" applyNumberFormat="1" applyFont="1" applyFill="1" applyBorder="1" applyAlignment="1">
      <alignment horizontal="right"/>
    </xf>
    <xf numFmtId="0" fontId="2" fillId="0" borderId="1" xfId="4" applyBorder="1"/>
    <xf numFmtId="9" fontId="0" fillId="5" borderId="22" xfId="6" applyFont="1" applyFill="1" applyBorder="1" applyAlignment="1">
      <alignment horizontal="right"/>
    </xf>
    <xf numFmtId="165" fontId="0" fillId="5" borderId="0" xfId="6" applyNumberFormat="1" applyFont="1" applyFill="1" applyAlignment="1">
      <alignment horizontal="right"/>
    </xf>
    <xf numFmtId="0" fontId="2" fillId="0" borderId="2" xfId="3" applyBorder="1" applyAlignment="1">
      <alignment horizontal="left" indent="1"/>
    </xf>
    <xf numFmtId="164" fontId="2" fillId="0" borderId="2" xfId="3" applyNumberFormat="1" applyBorder="1" applyProtection="1">
      <protection locked="0"/>
    </xf>
    <xf numFmtId="0" fontId="2" fillId="5" borderId="2" xfId="3" applyFill="1" applyBorder="1"/>
    <xf numFmtId="164" fontId="2" fillId="5" borderId="2" xfId="3" applyNumberFormat="1" applyFill="1" applyBorder="1" applyProtection="1">
      <protection locked="0"/>
    </xf>
    <xf numFmtId="0" fontId="2" fillId="0" borderId="2" xfId="3" applyBorder="1"/>
    <xf numFmtId="0" fontId="40" fillId="5" borderId="2" xfId="3" applyFont="1" applyFill="1" applyBorder="1"/>
    <xf numFmtId="0" fontId="2" fillId="6" borderId="2" xfId="3" applyFill="1" applyBorder="1"/>
    <xf numFmtId="164" fontId="2" fillId="6" borderId="2" xfId="3" applyNumberFormat="1" applyFill="1" applyBorder="1" applyProtection="1">
      <protection locked="0"/>
    </xf>
    <xf numFmtId="0" fontId="40" fillId="0" borderId="0" xfId="3" applyFont="1"/>
    <xf numFmtId="164" fontId="2" fillId="0" borderId="0" xfId="3" quotePrefix="1" applyNumberFormat="1" applyProtection="1">
      <protection locked="0"/>
    </xf>
    <xf numFmtId="165" fontId="2" fillId="0" borderId="0" xfId="6" applyNumberFormat="1" applyFont="1" applyFill="1" applyBorder="1" applyProtection="1">
      <protection locked="0"/>
    </xf>
    <xf numFmtId="164" fontId="2" fillId="0" borderId="0" xfId="3" applyNumberFormat="1" applyProtection="1">
      <protection locked="0"/>
    </xf>
    <xf numFmtId="0" fontId="2" fillId="0" borderId="3" xfId="4" applyBorder="1"/>
    <xf numFmtId="0" fontId="39" fillId="0" borderId="6" xfId="3" applyFont="1" applyBorder="1"/>
    <xf numFmtId="0" fontId="38" fillId="5" borderId="6" xfId="3" applyFont="1" applyFill="1" applyBorder="1" applyAlignment="1">
      <alignment horizontal="center" vertical="center" wrapText="1"/>
    </xf>
    <xf numFmtId="0" fontId="38" fillId="0" borderId="2" xfId="3" applyFont="1" applyBorder="1"/>
    <xf numFmtId="0" fontId="38" fillId="0" borderId="0" xfId="3" applyFont="1"/>
    <xf numFmtId="165" fontId="2" fillId="0" borderId="0" xfId="6" applyNumberFormat="1" applyFont="1" applyBorder="1" applyProtection="1">
      <protection locked="0"/>
    </xf>
    <xf numFmtId="164" fontId="2" fillId="0" borderId="0" xfId="4" applyNumberFormat="1"/>
    <xf numFmtId="165" fontId="0" fillId="0" borderId="0" xfId="6" applyNumberFormat="1" applyFont="1"/>
    <xf numFmtId="5" fontId="2" fillId="0" borderId="0" xfId="4" applyNumberFormat="1"/>
    <xf numFmtId="0" fontId="2" fillId="0" borderId="0" xfId="3"/>
    <xf numFmtId="165" fontId="2" fillId="0" borderId="0" xfId="6" applyNumberFormat="1" applyFont="1"/>
    <xf numFmtId="165" fontId="41" fillId="0" borderId="0" xfId="6" applyNumberFormat="1" applyFont="1"/>
    <xf numFmtId="165" fontId="42" fillId="0" borderId="0" xfId="6" applyNumberFormat="1" applyFont="1" applyBorder="1" applyAlignment="1">
      <alignment horizontal="left" vertical="center" wrapText="1"/>
    </xf>
    <xf numFmtId="0" fontId="2" fillId="0" borderId="0" xfId="3" applyAlignment="1">
      <alignment vertical="center"/>
    </xf>
    <xf numFmtId="165" fontId="45" fillId="4" borderId="0" xfId="6" applyNumberFormat="1" applyFont="1" applyFill="1" applyBorder="1" applyAlignment="1">
      <alignment horizontal="left" vertical="center" wrapText="1"/>
    </xf>
    <xf numFmtId="0" fontId="2" fillId="0" borderId="0" xfId="3" applyAlignment="1">
      <alignment horizontal="left" vertical="center"/>
    </xf>
    <xf numFmtId="0" fontId="46" fillId="0" borderId="0" xfId="7" applyFont="1" applyAlignment="1">
      <alignment horizontal="left"/>
    </xf>
    <xf numFmtId="165" fontId="46" fillId="0" borderId="0" xfId="6" applyNumberFormat="1" applyFont="1" applyBorder="1" applyAlignment="1">
      <alignment horizontal="left"/>
    </xf>
    <xf numFmtId="165" fontId="45" fillId="0" borderId="0" xfId="6" applyNumberFormat="1" applyFont="1" applyFill="1" applyBorder="1" applyAlignment="1">
      <alignment horizontal="center" vertical="center" wrapText="1"/>
    </xf>
    <xf numFmtId="0" fontId="21" fillId="0" borderId="26" xfId="7" applyFont="1" applyBorder="1" applyAlignment="1">
      <alignment horizontal="left"/>
    </xf>
    <xf numFmtId="164" fontId="21" fillId="2" borderId="24" xfId="7" applyNumberFormat="1" applyFont="1" applyFill="1" applyBorder="1" applyAlignment="1">
      <alignment horizontal="right" vertical="center" wrapText="1"/>
    </xf>
    <xf numFmtId="164" fontId="21" fillId="0" borderId="24" xfId="7" applyNumberFormat="1" applyFont="1" applyBorder="1" applyAlignment="1">
      <alignment horizontal="right" wrapText="1"/>
    </xf>
    <xf numFmtId="165" fontId="2" fillId="2" borderId="2" xfId="3" applyNumberFormat="1" applyFill="1" applyBorder="1" applyAlignment="1" applyProtection="1">
      <alignment horizontal="right"/>
      <protection locked="0"/>
    </xf>
    <xf numFmtId="164" fontId="21" fillId="0" borderId="26" xfId="7" applyNumberFormat="1" applyFont="1" applyBorder="1" applyAlignment="1">
      <alignment horizontal="right" wrapText="1"/>
    </xf>
    <xf numFmtId="164" fontId="21" fillId="2" borderId="37" xfId="7" applyNumberFormat="1" applyFont="1" applyFill="1" applyBorder="1" applyAlignment="1">
      <alignment horizontal="right" wrapText="1"/>
    </xf>
    <xf numFmtId="165" fontId="21" fillId="2" borderId="1" xfId="6" applyNumberFormat="1" applyFont="1" applyFill="1" applyBorder="1" applyAlignment="1">
      <alignment horizontal="right" wrapText="1"/>
    </xf>
    <xf numFmtId="164" fontId="2" fillId="2" borderId="0" xfId="3" applyNumberFormat="1" applyFill="1" applyAlignment="1">
      <alignment horizontal="right" vertical="center"/>
    </xf>
    <xf numFmtId="0" fontId="47" fillId="2" borderId="0" xfId="3" quotePrefix="1" applyFont="1" applyFill="1" applyAlignment="1">
      <alignment horizontal="left" vertical="center"/>
    </xf>
    <xf numFmtId="0" fontId="21" fillId="0" borderId="27" xfId="7" applyFont="1" applyBorder="1" applyAlignment="1">
      <alignment horizontal="left"/>
    </xf>
    <xf numFmtId="164" fontId="21" fillId="2" borderId="28" xfId="7" applyNumberFormat="1" applyFont="1" applyFill="1" applyBorder="1" applyAlignment="1">
      <alignment vertical="center"/>
    </xf>
    <xf numFmtId="164" fontId="21" fillId="2" borderId="27" xfId="7" applyNumberFormat="1" applyFont="1" applyFill="1" applyBorder="1" applyAlignment="1">
      <alignment horizontal="right" wrapText="1"/>
    </xf>
    <xf numFmtId="0" fontId="21" fillId="0" borderId="30" xfId="7" applyFont="1" applyBorder="1" applyAlignment="1">
      <alignment horizontal="left"/>
    </xf>
    <xf numFmtId="165" fontId="2" fillId="2" borderId="3" xfId="3" applyNumberFormat="1" applyFill="1" applyBorder="1" applyAlignment="1" applyProtection="1">
      <alignment horizontal="right"/>
      <protection locked="0"/>
    </xf>
    <xf numFmtId="164" fontId="21" fillId="2" borderId="35" xfId="7" applyNumberFormat="1" applyFont="1" applyFill="1" applyBorder="1" applyAlignment="1">
      <alignment horizontal="right" wrapText="1"/>
    </xf>
    <xf numFmtId="0" fontId="21" fillId="0" borderId="10" xfId="7" applyFont="1" applyBorder="1" applyAlignment="1">
      <alignment horizontal="left" indent="2"/>
    </xf>
    <xf numFmtId="164" fontId="21" fillId="2" borderId="4" xfId="7" applyNumberFormat="1" applyFont="1" applyFill="1" applyBorder="1" applyAlignment="1">
      <alignment vertical="center"/>
    </xf>
    <xf numFmtId="165" fontId="38" fillId="2" borderId="4" xfId="3" applyNumberFormat="1" applyFont="1" applyFill="1" applyBorder="1" applyAlignment="1" applyProtection="1">
      <alignment horizontal="right"/>
      <protection locked="0"/>
    </xf>
    <xf numFmtId="164" fontId="21" fillId="2" borderId="14" xfId="7" applyNumberFormat="1" applyFont="1" applyFill="1" applyBorder="1" applyAlignment="1">
      <alignment vertical="center"/>
    </xf>
    <xf numFmtId="165" fontId="21" fillId="2" borderId="6" xfId="6" applyNumberFormat="1" applyFont="1" applyFill="1" applyBorder="1" applyAlignment="1">
      <alignment horizontal="right" wrapText="1"/>
    </xf>
    <xf numFmtId="43" fontId="2" fillId="0" borderId="0" xfId="1" applyFont="1" applyFill="1" applyAlignment="1">
      <alignment horizontal="left" vertical="center"/>
    </xf>
    <xf numFmtId="166" fontId="2" fillId="0" borderId="0" xfId="1" applyNumberFormat="1" applyFont="1" applyAlignment="1">
      <alignment horizontal="left" vertical="center"/>
    </xf>
    <xf numFmtId="167" fontId="2" fillId="0" borderId="0" xfId="3" applyNumberFormat="1" applyAlignment="1">
      <alignment horizontal="left" vertical="center"/>
    </xf>
    <xf numFmtId="164" fontId="21" fillId="0" borderId="24" xfId="7" quotePrefix="1" applyNumberFormat="1" applyFont="1" applyBorder="1" applyAlignment="1">
      <alignment horizontal="right" wrapText="1"/>
    </xf>
    <xf numFmtId="164" fontId="21" fillId="2" borderId="39" xfId="7" applyNumberFormat="1" applyFont="1" applyFill="1" applyBorder="1" applyAlignment="1">
      <alignment horizontal="right" wrapText="1"/>
    </xf>
    <xf numFmtId="164" fontId="21" fillId="2" borderId="40" xfId="7" applyNumberFormat="1" applyFont="1" applyFill="1" applyBorder="1" applyAlignment="1">
      <alignment horizontal="right" wrapText="1"/>
    </xf>
    <xf numFmtId="164" fontId="21" fillId="2" borderId="41" xfId="7" applyNumberFormat="1" applyFont="1" applyFill="1" applyBorder="1" applyAlignment="1">
      <alignment horizontal="right" wrapText="1"/>
    </xf>
    <xf numFmtId="164" fontId="21" fillId="2" borderId="4" xfId="7" applyNumberFormat="1" applyFont="1" applyFill="1" applyBorder="1" applyAlignment="1">
      <alignment horizontal="right" vertical="center"/>
    </xf>
    <xf numFmtId="164" fontId="21" fillId="2" borderId="34" xfId="7" applyNumberFormat="1" applyFont="1" applyFill="1" applyBorder="1" applyAlignment="1">
      <alignment vertical="center"/>
    </xf>
    <xf numFmtId="165" fontId="2" fillId="0" borderId="0" xfId="2" applyNumberFormat="1" applyFont="1" applyAlignment="1">
      <alignment horizontal="left" vertical="center"/>
    </xf>
    <xf numFmtId="165" fontId="2" fillId="0" borderId="0" xfId="6" applyNumberFormat="1" applyFont="1" applyAlignment="1">
      <alignment horizontal="left" vertical="center"/>
    </xf>
    <xf numFmtId="164" fontId="21" fillId="2" borderId="28" xfId="7" applyNumberFormat="1" applyFont="1" applyFill="1" applyBorder="1" applyAlignment="1">
      <alignment horizontal="right" vertical="center"/>
    </xf>
    <xf numFmtId="164" fontId="2" fillId="0" borderId="0" xfId="3" applyNumberFormat="1" applyAlignment="1">
      <alignment horizontal="left" vertical="center"/>
    </xf>
    <xf numFmtId="164" fontId="2" fillId="0" borderId="0" xfId="3" applyNumberFormat="1"/>
    <xf numFmtId="0" fontId="21" fillId="0" borderId="0" xfId="7" applyFont="1" applyAlignment="1">
      <alignment horizontal="left" indent="2"/>
    </xf>
    <xf numFmtId="164" fontId="21" fillId="0" borderId="0" xfId="7" applyNumberFormat="1" applyFont="1" applyAlignment="1">
      <alignment horizontal="right" vertical="center"/>
    </xf>
    <xf numFmtId="165" fontId="38" fillId="0" borderId="0" xfId="3" applyNumberFormat="1" applyFont="1" applyAlignment="1" applyProtection="1">
      <alignment horizontal="right"/>
      <protection locked="0"/>
    </xf>
    <xf numFmtId="164" fontId="21" fillId="0" borderId="0" xfId="7" applyNumberFormat="1" applyFont="1" applyAlignment="1">
      <alignment vertical="center"/>
    </xf>
    <xf numFmtId="165" fontId="21" fillId="0" borderId="0" xfId="6" applyNumberFormat="1" applyFont="1" applyFill="1" applyBorder="1" applyAlignment="1">
      <alignment horizontal="right" wrapText="1"/>
    </xf>
    <xf numFmtId="165" fontId="44" fillId="0" borderId="0" xfId="6" applyNumberFormat="1" applyFont="1" applyBorder="1" applyAlignment="1">
      <alignment horizontal="left" vertical="center" wrapText="1"/>
    </xf>
    <xf numFmtId="0" fontId="36" fillId="3" borderId="0" xfId="4" applyFont="1" applyFill="1" applyAlignment="1">
      <alignment vertical="center"/>
    </xf>
    <xf numFmtId="0" fontId="36" fillId="3" borderId="0" xfId="4" applyFont="1" applyFill="1" applyAlignment="1">
      <alignment vertical="center" wrapText="1"/>
    </xf>
    <xf numFmtId="0" fontId="2" fillId="3" borderId="0" xfId="4" applyFill="1" applyAlignment="1">
      <alignment vertical="center"/>
    </xf>
    <xf numFmtId="0" fontId="36" fillId="3" borderId="0" xfId="4" applyFont="1" applyFill="1" applyAlignment="1">
      <alignment horizontal="left" vertical="center"/>
    </xf>
    <xf numFmtId="0" fontId="5" fillId="3" borderId="0" xfId="3" applyFont="1" applyFill="1" applyAlignment="1">
      <alignment horizontal="left" vertical="center" wrapText="1"/>
    </xf>
    <xf numFmtId="0" fontId="5" fillId="3" borderId="0" xfId="3" applyFont="1" applyFill="1" applyAlignment="1">
      <alignment horizontal="center" vertical="center" wrapText="1"/>
    </xf>
    <xf numFmtId="0" fontId="2" fillId="3" borderId="0" xfId="4" applyFill="1" applyAlignment="1" applyProtection="1">
      <alignment horizontal="center" vertical="center"/>
      <protection locked="0"/>
    </xf>
    <xf numFmtId="0" fontId="5" fillId="3" borderId="38" xfId="3" applyFont="1" applyFill="1" applyBorder="1" applyAlignment="1" applyProtection="1">
      <alignment horizontal="left" vertical="center"/>
      <protection locked="0"/>
    </xf>
    <xf numFmtId="0" fontId="5" fillId="3" borderId="31" xfId="3" applyFont="1" applyFill="1" applyBorder="1" applyAlignment="1" applyProtection="1">
      <alignment horizontal="left" vertical="center" wrapText="1"/>
      <protection locked="0"/>
    </xf>
    <xf numFmtId="164" fontId="21" fillId="7" borderId="32" xfId="4" applyNumberFormat="1" applyFont="1" applyFill="1" applyBorder="1" applyAlignment="1" applyProtection="1">
      <alignment horizontal="right" vertical="center" wrapText="1"/>
      <protection locked="0"/>
    </xf>
    <xf numFmtId="164" fontId="5" fillId="3" borderId="0" xfId="3" applyNumberFormat="1" applyFont="1" applyFill="1" applyAlignment="1" applyProtection="1">
      <alignment vertical="center"/>
      <protection locked="0"/>
    </xf>
    <xf numFmtId="164" fontId="5" fillId="2" borderId="42" xfId="3" applyNumberFormat="1" applyFont="1" applyFill="1" applyBorder="1" applyAlignment="1" applyProtection="1">
      <alignment horizontal="center" vertical="center"/>
      <protection locked="0"/>
    </xf>
    <xf numFmtId="0" fontId="5" fillId="3" borderId="14" xfId="3" applyFont="1" applyFill="1" applyBorder="1" applyAlignment="1" applyProtection="1">
      <alignment horizontal="left" vertical="center"/>
      <protection locked="0"/>
    </xf>
    <xf numFmtId="0" fontId="5" fillId="3" borderId="7" xfId="3" applyFont="1" applyFill="1" applyBorder="1" applyAlignment="1" applyProtection="1">
      <alignment horizontal="left" vertical="center" wrapText="1"/>
      <protection locked="0"/>
    </xf>
    <xf numFmtId="164" fontId="21" fillId="7" borderId="15" xfId="4" applyNumberFormat="1" applyFont="1" applyFill="1" applyBorder="1" applyAlignment="1" applyProtection="1">
      <alignment horizontal="right" vertical="center" wrapText="1"/>
      <protection locked="0"/>
    </xf>
    <xf numFmtId="165" fontId="5" fillId="3" borderId="34" xfId="2" applyNumberFormat="1" applyFont="1" applyFill="1" applyBorder="1" applyAlignment="1" applyProtection="1">
      <alignment horizontal="right" vertical="center"/>
      <protection locked="0"/>
    </xf>
    <xf numFmtId="0" fontId="48" fillId="3" borderId="0" xfId="4" applyFont="1" applyFill="1" applyAlignment="1" applyProtection="1">
      <alignment vertical="center"/>
      <protection locked="0"/>
    </xf>
    <xf numFmtId="0" fontId="5" fillId="3" borderId="0" xfId="3" applyFont="1" applyFill="1" applyAlignment="1" applyProtection="1">
      <alignment horizontal="left" vertical="center"/>
      <protection locked="0"/>
    </xf>
    <xf numFmtId="0" fontId="5" fillId="3" borderId="0" xfId="3" applyFont="1" applyFill="1" applyAlignment="1" applyProtection="1">
      <alignment horizontal="left" vertical="center" wrapText="1"/>
      <protection locked="0"/>
    </xf>
    <xf numFmtId="164" fontId="5" fillId="3" borderId="0" xfId="3" applyNumberFormat="1" applyFont="1" applyFill="1" applyAlignment="1" applyProtection="1">
      <alignment horizontal="right" vertical="center"/>
      <protection locked="0"/>
    </xf>
    <xf numFmtId="166" fontId="5" fillId="3" borderId="0" xfId="1" applyNumberFormat="1" applyFont="1" applyFill="1" applyAlignment="1" applyProtection="1">
      <alignment horizontal="left" vertical="center" wrapText="1"/>
      <protection locked="0"/>
    </xf>
    <xf numFmtId="167" fontId="21" fillId="3" borderId="0" xfId="4" applyNumberFormat="1" applyFont="1" applyFill="1" applyAlignment="1" applyProtection="1">
      <alignment horizontal="right" vertical="center" wrapText="1"/>
      <protection locked="0"/>
    </xf>
    <xf numFmtId="0" fontId="2" fillId="5" borderId="2" xfId="4" applyFill="1" applyBorder="1" applyAlignment="1">
      <alignment vertical="center"/>
    </xf>
    <xf numFmtId="0" fontId="49" fillId="5" borderId="2" xfId="4" applyFont="1" applyFill="1" applyBorder="1" applyAlignment="1">
      <alignment horizontal="center" vertical="center" wrapText="1"/>
    </xf>
    <xf numFmtId="0" fontId="5" fillId="3" borderId="21" xfId="3" applyFont="1" applyFill="1" applyBorder="1" applyAlignment="1" applyProtection="1">
      <alignment vertical="center"/>
      <protection locked="0"/>
    </xf>
    <xf numFmtId="0" fontId="5" fillId="3" borderId="0" xfId="3" applyFont="1" applyFill="1" applyAlignment="1" applyProtection="1">
      <alignment vertical="center" wrapText="1"/>
      <protection locked="0"/>
    </xf>
    <xf numFmtId="0" fontId="49" fillId="5" borderId="19" xfId="4" applyFont="1" applyFill="1" applyBorder="1" applyAlignment="1">
      <alignment horizontal="center" vertical="center" wrapText="1"/>
    </xf>
    <xf numFmtId="0" fontId="49" fillId="5" borderId="20" xfId="4" applyFont="1" applyFill="1" applyBorder="1" applyAlignment="1">
      <alignment horizontal="center" vertical="center" wrapText="1"/>
    </xf>
    <xf numFmtId="0" fontId="49" fillId="5" borderId="8" xfId="4" applyFont="1" applyFill="1" applyBorder="1" applyAlignment="1">
      <alignment horizontal="center" vertical="center" wrapText="1"/>
    </xf>
    <xf numFmtId="0" fontId="5" fillId="2" borderId="21" xfId="3" applyFont="1" applyFill="1" applyBorder="1" applyAlignment="1" applyProtection="1">
      <alignment vertical="center"/>
      <protection locked="0"/>
    </xf>
    <xf numFmtId="0" fontId="5" fillId="2" borderId="0" xfId="3" applyFont="1" applyFill="1" applyAlignment="1" applyProtection="1">
      <alignment vertical="center" wrapText="1"/>
      <protection locked="0"/>
    </xf>
    <xf numFmtId="0" fontId="2" fillId="2" borderId="1" xfId="4" applyFill="1" applyBorder="1" applyAlignment="1">
      <alignment vertical="center"/>
    </xf>
    <xf numFmtId="0" fontId="50" fillId="3" borderId="0" xfId="4" applyFont="1" applyFill="1" applyAlignment="1" applyProtection="1">
      <alignment horizontal="center" vertical="center"/>
      <protection locked="0"/>
    </xf>
    <xf numFmtId="0" fontId="2" fillId="3" borderId="21" xfId="4" applyFill="1" applyBorder="1" applyAlignment="1">
      <alignment vertical="center"/>
    </xf>
    <xf numFmtId="0" fontId="13" fillId="3" borderId="0" xfId="3" applyFont="1" applyFill="1" applyAlignment="1" applyProtection="1">
      <alignment vertical="center" wrapText="1"/>
      <protection locked="0"/>
    </xf>
    <xf numFmtId="0" fontId="2" fillId="7" borderId="1" xfId="4" applyFill="1" applyBorder="1" applyAlignment="1">
      <alignment vertical="center"/>
    </xf>
    <xf numFmtId="0" fontId="13" fillId="3" borderId="0" xfId="3" applyFont="1" applyFill="1" applyAlignment="1" applyProtection="1">
      <alignment horizontal="left" vertical="center" wrapText="1"/>
      <protection locked="0"/>
    </xf>
    <xf numFmtId="5" fontId="5" fillId="5" borderId="1" xfId="3" quotePrefix="1" applyNumberFormat="1" applyFont="1" applyFill="1" applyBorder="1" applyAlignment="1" applyProtection="1">
      <alignment vertical="center"/>
      <protection locked="0"/>
    </xf>
    <xf numFmtId="5" fontId="21" fillId="7" borderId="21" xfId="4" applyNumberFormat="1" applyFont="1" applyFill="1" applyBorder="1" applyAlignment="1" applyProtection="1">
      <alignment horizontal="right" vertical="center" wrapText="1"/>
      <protection locked="0"/>
    </xf>
    <xf numFmtId="5" fontId="21" fillId="7" borderId="0" xfId="4" applyNumberFormat="1" applyFont="1" applyFill="1" applyAlignment="1" applyProtection="1">
      <alignment horizontal="right" vertical="center" wrapText="1"/>
      <protection locked="0"/>
    </xf>
    <xf numFmtId="5" fontId="21" fillId="7" borderId="1" xfId="4" applyNumberFormat="1" applyFont="1" applyFill="1" applyBorder="1" applyAlignment="1" applyProtection="1">
      <alignment horizontal="right" vertical="center" wrapText="1"/>
      <protection locked="0"/>
    </xf>
    <xf numFmtId="0" fontId="13" fillId="2" borderId="0" xfId="3" applyFont="1" applyFill="1" applyAlignment="1" applyProtection="1">
      <alignment vertical="center" wrapText="1"/>
      <protection locked="0"/>
    </xf>
    <xf numFmtId="5" fontId="5" fillId="5" borderId="1" xfId="3" applyNumberFormat="1" applyFont="1" applyFill="1" applyBorder="1" applyAlignment="1" applyProtection="1">
      <alignment vertical="center"/>
      <protection locked="0"/>
    </xf>
    <xf numFmtId="0" fontId="13" fillId="3" borderId="21" xfId="3" applyFont="1" applyFill="1" applyBorder="1" applyAlignment="1" applyProtection="1">
      <alignment vertical="center"/>
      <protection locked="0"/>
    </xf>
    <xf numFmtId="0" fontId="4" fillId="5" borderId="43" xfId="3" applyFont="1" applyFill="1" applyBorder="1" applyAlignment="1" applyProtection="1">
      <alignment vertical="center"/>
      <protection locked="0"/>
    </xf>
    <xf numFmtId="0" fontId="5" fillId="5" borderId="44" xfId="3" applyFont="1" applyFill="1" applyBorder="1" applyAlignment="1">
      <alignment vertical="center" wrapText="1"/>
    </xf>
    <xf numFmtId="0" fontId="5" fillId="5" borderId="45" xfId="4" applyFont="1" applyFill="1" applyBorder="1" applyAlignment="1">
      <alignment vertical="center"/>
    </xf>
    <xf numFmtId="0" fontId="4" fillId="3" borderId="0" xfId="3" applyFont="1" applyFill="1" applyAlignment="1" applyProtection="1">
      <alignment vertical="center"/>
      <protection locked="0"/>
    </xf>
    <xf numFmtId="0" fontId="2" fillId="3" borderId="0" xfId="3" applyFill="1" applyAlignment="1">
      <alignment vertical="center" wrapText="1"/>
    </xf>
    <xf numFmtId="0" fontId="2" fillId="3" borderId="0" xfId="3" applyFill="1" applyAlignment="1">
      <alignment vertical="center"/>
    </xf>
    <xf numFmtId="0" fontId="5" fillId="3" borderId="0" xfId="3" applyFont="1" applyFill="1" applyAlignment="1">
      <alignment vertical="center"/>
    </xf>
    <xf numFmtId="0" fontId="38" fillId="3" borderId="0" xfId="3" applyFont="1" applyFill="1" applyAlignment="1">
      <alignment vertical="center"/>
    </xf>
    <xf numFmtId="0" fontId="5" fillId="3" borderId="0" xfId="3" applyFont="1" applyFill="1" applyAlignment="1" applyProtection="1">
      <alignment horizontal="center" vertical="center"/>
      <protection locked="0"/>
    </xf>
    <xf numFmtId="0" fontId="2" fillId="3" borderId="0" xfId="4" applyFill="1" applyAlignment="1">
      <alignment vertical="center" wrapText="1"/>
    </xf>
    <xf numFmtId="0" fontId="5" fillId="3" borderId="0" xfId="3" applyFont="1" applyFill="1" applyAlignment="1" applyProtection="1">
      <alignment horizontal="center" vertical="center" wrapText="1"/>
      <protection locked="0"/>
    </xf>
    <xf numFmtId="0" fontId="5" fillId="3" borderId="19" xfId="3" applyFont="1" applyFill="1" applyBorder="1" applyAlignment="1" applyProtection="1">
      <alignment horizontal="center" vertical="center"/>
      <protection locked="0"/>
    </xf>
    <xf numFmtId="0" fontId="5" fillId="3" borderId="8" xfId="3" applyFont="1" applyFill="1" applyBorder="1" applyAlignment="1" applyProtection="1">
      <alignment horizontal="center" vertical="center"/>
      <protection locked="0"/>
    </xf>
    <xf numFmtId="164" fontId="13" fillId="3" borderId="0" xfId="4" applyNumberFormat="1" applyFont="1" applyFill="1" applyAlignment="1">
      <alignment vertical="center"/>
    </xf>
    <xf numFmtId="0" fontId="5" fillId="3" borderId="0" xfId="4" applyFont="1" applyFill="1" applyAlignment="1">
      <alignment vertical="center" wrapText="1"/>
    </xf>
    <xf numFmtId="0" fontId="5" fillId="3" borderId="20" xfId="4" applyFont="1" applyFill="1" applyBorder="1" applyAlignment="1">
      <alignment vertical="center" wrapText="1"/>
    </xf>
    <xf numFmtId="0" fontId="2" fillId="3" borderId="23" xfId="4" applyFill="1" applyBorder="1" applyAlignment="1">
      <alignment vertical="center"/>
    </xf>
    <xf numFmtId="0" fontId="2" fillId="3" borderId="5" xfId="4" applyFill="1" applyBorder="1" applyAlignment="1">
      <alignment vertical="center"/>
    </xf>
    <xf numFmtId="166" fontId="2" fillId="3" borderId="0" xfId="1" quotePrefix="1" applyNumberFormat="1" applyFont="1" applyFill="1" applyAlignment="1">
      <alignment vertical="center"/>
    </xf>
    <xf numFmtId="166" fontId="2" fillId="3" borderId="0" xfId="4" applyNumberFormat="1" applyFill="1" applyAlignment="1">
      <alignment vertical="center"/>
    </xf>
    <xf numFmtId="164" fontId="2" fillId="3" borderId="0" xfId="4" applyNumberFormat="1" applyFill="1" applyAlignment="1">
      <alignment vertical="center"/>
    </xf>
    <xf numFmtId="0" fontId="13" fillId="0" borderId="0" xfId="3" applyFont="1"/>
    <xf numFmtId="166" fontId="13" fillId="0" borderId="0" xfId="1" applyNumberFormat="1" applyFont="1"/>
    <xf numFmtId="164" fontId="13" fillId="0" borderId="0" xfId="3" applyNumberFormat="1" applyFont="1"/>
    <xf numFmtId="0" fontId="51" fillId="9" borderId="14" xfId="3" applyFont="1" applyFill="1" applyBorder="1" applyAlignment="1">
      <alignment horizontal="center" vertical="center" wrapText="1"/>
    </xf>
    <xf numFmtId="0" fontId="51" fillId="5" borderId="14" xfId="3" applyFont="1" applyFill="1" applyBorder="1" applyAlignment="1">
      <alignment horizontal="center" vertical="center" wrapText="1"/>
    </xf>
    <xf numFmtId="0" fontId="51" fillId="9" borderId="51" xfId="3" applyFont="1" applyFill="1" applyBorder="1" applyAlignment="1">
      <alignment horizontal="center" vertical="center" wrapText="1"/>
    </xf>
    <xf numFmtId="0" fontId="10" fillId="11" borderId="54" xfId="3" applyFont="1" applyFill="1" applyBorder="1" applyAlignment="1">
      <alignment horizontal="center" vertical="top" wrapText="1"/>
    </xf>
    <xf numFmtId="164" fontId="21" fillId="0" borderId="45" xfId="3" applyNumberFormat="1" applyFont="1" applyBorder="1" applyAlignment="1">
      <alignment horizontal="right" vertical="center" wrapText="1"/>
    </xf>
    <xf numFmtId="164" fontId="20" fillId="0" borderId="45" xfId="3" applyNumberFormat="1" applyFont="1" applyBorder="1" applyAlignment="1">
      <alignment horizontal="right" vertical="center" wrapText="1"/>
    </xf>
    <xf numFmtId="0" fontId="38" fillId="0" borderId="58" xfId="3" applyFont="1" applyBorder="1" applyAlignment="1">
      <alignment wrapText="1"/>
    </xf>
    <xf numFmtId="0" fontId="2" fillId="0" borderId="58" xfId="3" applyBorder="1" applyAlignment="1">
      <alignment wrapText="1"/>
    </xf>
    <xf numFmtId="0" fontId="22" fillId="11" borderId="60" xfId="3" applyFont="1" applyFill="1" applyBorder="1" applyAlignment="1">
      <alignment vertical="top" wrapText="1"/>
    </xf>
    <xf numFmtId="0" fontId="54" fillId="11" borderId="43" xfId="3" applyFont="1" applyFill="1" applyBorder="1" applyAlignment="1">
      <alignment vertical="top" wrapText="1"/>
    </xf>
    <xf numFmtId="0" fontId="10" fillId="11" borderId="45" xfId="3" applyFont="1" applyFill="1" applyBorder="1" applyAlignment="1">
      <alignment horizontal="center" vertical="top" wrapText="1"/>
    </xf>
    <xf numFmtId="0" fontId="54" fillId="0" borderId="21" xfId="3" applyFont="1" applyBorder="1" applyAlignment="1">
      <alignment vertical="top" wrapText="1"/>
    </xf>
    <xf numFmtId="0" fontId="10" fillId="11" borderId="21" xfId="3" applyFont="1" applyFill="1" applyBorder="1" applyAlignment="1">
      <alignment horizontal="center" vertical="top" wrapText="1"/>
    </xf>
    <xf numFmtId="164" fontId="20" fillId="0" borderId="6" xfId="3" applyNumberFormat="1" applyFont="1" applyBorder="1" applyAlignment="1">
      <alignment horizontal="right" vertical="center" wrapText="1"/>
    </xf>
    <xf numFmtId="164" fontId="21" fillId="5" borderId="41" xfId="3" applyNumberFormat="1" applyFont="1" applyFill="1" applyBorder="1" applyAlignment="1">
      <alignment horizontal="right" vertical="center"/>
    </xf>
    <xf numFmtId="164" fontId="21" fillId="5" borderId="61" xfId="3" applyNumberFormat="1" applyFont="1" applyFill="1" applyBorder="1" applyAlignment="1">
      <alignment horizontal="right" vertical="center"/>
    </xf>
    <xf numFmtId="164" fontId="21" fillId="5" borderId="62" xfId="3" applyNumberFormat="1" applyFont="1" applyFill="1" applyBorder="1" applyAlignment="1">
      <alignment horizontal="right" vertical="center"/>
    </xf>
    <xf numFmtId="0" fontId="36" fillId="3" borderId="17" xfId="4" applyFont="1" applyFill="1" applyBorder="1" applyAlignment="1">
      <alignment vertical="center"/>
    </xf>
    <xf numFmtId="0" fontId="36" fillId="3" borderId="9" xfId="4" applyFont="1" applyFill="1" applyBorder="1" applyAlignment="1">
      <alignment vertical="center"/>
    </xf>
    <xf numFmtId="0" fontId="2" fillId="3" borderId="9" xfId="4" applyFill="1" applyBorder="1"/>
    <xf numFmtId="0" fontId="2" fillId="3" borderId="18" xfId="4" applyFill="1" applyBorder="1"/>
    <xf numFmtId="0" fontId="2" fillId="3" borderId="22" xfId="4" applyFill="1" applyBorder="1"/>
    <xf numFmtId="0" fontId="2" fillId="3" borderId="21" xfId="4" applyFill="1" applyBorder="1"/>
    <xf numFmtId="0" fontId="38" fillId="8" borderId="38" xfId="4" applyFont="1" applyFill="1" applyBorder="1"/>
    <xf numFmtId="0" fontId="38" fillId="8" borderId="31" xfId="3" applyFont="1" applyFill="1" applyBorder="1" applyAlignment="1">
      <alignment horizontal="center" vertical="center"/>
    </xf>
    <xf numFmtId="9" fontId="38" fillId="8" borderId="31" xfId="6" applyFont="1" applyFill="1" applyBorder="1" applyAlignment="1">
      <alignment horizontal="center" vertical="center"/>
    </xf>
    <xf numFmtId="0" fontId="51" fillId="8" borderId="31" xfId="4" applyFont="1" applyFill="1" applyBorder="1" applyAlignment="1" applyProtection="1">
      <alignment horizontal="center" vertical="center" wrapText="1"/>
      <protection locked="0"/>
    </xf>
    <xf numFmtId="0" fontId="51" fillId="8" borderId="31" xfId="4" applyFont="1" applyFill="1" applyBorder="1" applyAlignment="1">
      <alignment horizontal="center" vertical="center" wrapText="1"/>
    </xf>
    <xf numFmtId="9" fontId="38" fillId="8" borderId="38" xfId="6" applyFont="1" applyFill="1" applyBorder="1" applyAlignment="1">
      <alignment horizontal="center" vertical="center"/>
    </xf>
    <xf numFmtId="9" fontId="38" fillId="8" borderId="63" xfId="6" applyFont="1" applyFill="1" applyBorder="1" applyAlignment="1">
      <alignment horizontal="center" vertical="center"/>
    </xf>
    <xf numFmtId="0" fontId="38" fillId="3" borderId="27" xfId="4" applyFont="1" applyFill="1" applyBorder="1"/>
    <xf numFmtId="166" fontId="0" fillId="7" borderId="20" xfId="9" applyNumberFormat="1" applyFont="1" applyFill="1" applyBorder="1"/>
    <xf numFmtId="9" fontId="0" fillId="2" borderId="20" xfId="6" applyFont="1" applyFill="1" applyBorder="1" applyAlignment="1">
      <alignment horizontal="right"/>
    </xf>
    <xf numFmtId="9" fontId="0" fillId="2" borderId="27" xfId="6" applyFont="1" applyFill="1" applyBorder="1" applyAlignment="1">
      <alignment horizontal="right"/>
    </xf>
    <xf numFmtId="9" fontId="0" fillId="2" borderId="64" xfId="6" applyFont="1" applyFill="1" applyBorder="1" applyAlignment="1">
      <alignment horizontal="right"/>
    </xf>
    <xf numFmtId="0" fontId="38" fillId="3" borderId="16" xfId="4" applyFont="1" applyFill="1" applyBorder="1"/>
    <xf numFmtId="165" fontId="0" fillId="7" borderId="0" xfId="6" applyNumberFormat="1" applyFont="1" applyFill="1" applyBorder="1" applyAlignment="1">
      <alignment horizontal="right"/>
    </xf>
    <xf numFmtId="168" fontId="0" fillId="2" borderId="0" xfId="6" applyNumberFormat="1" applyFont="1" applyFill="1" applyBorder="1" applyAlignment="1">
      <alignment horizontal="right"/>
    </xf>
    <xf numFmtId="165" fontId="0" fillId="2" borderId="16" xfId="6" applyNumberFormat="1" applyFont="1" applyFill="1" applyBorder="1" applyAlignment="1">
      <alignment horizontal="right"/>
    </xf>
    <xf numFmtId="9" fontId="0" fillId="2" borderId="65" xfId="6" applyFont="1" applyFill="1" applyBorder="1" applyAlignment="1">
      <alignment horizontal="right"/>
    </xf>
    <xf numFmtId="0" fontId="38" fillId="3" borderId="30" xfId="4" applyFont="1" applyFill="1" applyBorder="1"/>
    <xf numFmtId="166" fontId="0" fillId="7" borderId="9" xfId="9" applyNumberFormat="1" applyFont="1" applyFill="1" applyBorder="1"/>
    <xf numFmtId="9" fontId="0" fillId="2" borderId="9" xfId="6" applyFont="1" applyFill="1" applyBorder="1" applyAlignment="1">
      <alignment horizontal="right"/>
    </xf>
    <xf numFmtId="9" fontId="0" fillId="2" borderId="30" xfId="6" applyFont="1" applyFill="1" applyBorder="1" applyAlignment="1">
      <alignment horizontal="right"/>
    </xf>
    <xf numFmtId="9" fontId="0" fillId="2" borderId="66" xfId="6" applyFont="1" applyFill="1" applyBorder="1" applyAlignment="1">
      <alignment horizontal="right"/>
    </xf>
    <xf numFmtId="166" fontId="2" fillId="7" borderId="0" xfId="9" applyNumberFormat="1" applyFont="1" applyFill="1" applyBorder="1" applyAlignment="1">
      <alignment horizontal="center"/>
    </xf>
    <xf numFmtId="166" fontId="0" fillId="7" borderId="0" xfId="9" applyNumberFormat="1" applyFont="1" applyFill="1" applyBorder="1"/>
    <xf numFmtId="9" fontId="0" fillId="2" borderId="0" xfId="6" applyFont="1" applyFill="1" applyBorder="1" applyAlignment="1">
      <alignment horizontal="right"/>
    </xf>
    <xf numFmtId="9" fontId="0" fillId="2" borderId="16" xfId="6" applyFont="1" applyFill="1" applyBorder="1" applyAlignment="1">
      <alignment horizontal="right"/>
    </xf>
    <xf numFmtId="9" fontId="0" fillId="2" borderId="13" xfId="6" applyFont="1" applyFill="1" applyBorder="1" applyAlignment="1">
      <alignment horizontal="right"/>
    </xf>
    <xf numFmtId="0" fontId="38" fillId="3" borderId="26" xfId="4" applyFont="1" applyFill="1" applyBorder="1"/>
    <xf numFmtId="165" fontId="0" fillId="7" borderId="67" xfId="6" applyNumberFormat="1" applyFont="1" applyFill="1" applyBorder="1" applyAlignment="1">
      <alignment horizontal="right"/>
    </xf>
    <xf numFmtId="168" fontId="0" fillId="2" borderId="67" xfId="6" applyNumberFormat="1" applyFont="1" applyFill="1" applyBorder="1" applyAlignment="1">
      <alignment horizontal="right"/>
    </xf>
    <xf numFmtId="168" fontId="0" fillId="2" borderId="26" xfId="6" applyNumberFormat="1" applyFont="1" applyFill="1" applyBorder="1" applyAlignment="1">
      <alignment horizontal="right"/>
    </xf>
    <xf numFmtId="166" fontId="2" fillId="7" borderId="67" xfId="9" applyNumberFormat="1" applyFont="1" applyFill="1" applyBorder="1" applyAlignment="1">
      <alignment horizontal="center"/>
    </xf>
    <xf numFmtId="166" fontId="2" fillId="7" borderId="67" xfId="9" applyNumberFormat="1" applyFont="1" applyFill="1" applyBorder="1" applyAlignment="1">
      <alignment horizontal="center" vertical="center"/>
    </xf>
    <xf numFmtId="9" fontId="0" fillId="2" borderId="67" xfId="6" applyFont="1" applyFill="1" applyBorder="1" applyAlignment="1">
      <alignment horizontal="right"/>
    </xf>
    <xf numFmtId="166" fontId="0" fillId="7" borderId="67" xfId="9" applyNumberFormat="1" applyFont="1" applyFill="1" applyBorder="1"/>
    <xf numFmtId="9" fontId="0" fillId="2" borderId="26" xfId="6" applyFont="1" applyFill="1" applyBorder="1" applyAlignment="1">
      <alignment horizontal="right"/>
    </xf>
    <xf numFmtId="0" fontId="38" fillId="8" borderId="16" xfId="4" applyFont="1" applyFill="1" applyBorder="1"/>
    <xf numFmtId="166" fontId="2" fillId="8" borderId="0" xfId="9" applyNumberFormat="1" applyFont="1" applyFill="1" applyBorder="1" applyAlignment="1">
      <alignment horizontal="center"/>
    </xf>
    <xf numFmtId="9" fontId="0" fillId="8" borderId="0" xfId="6" applyFont="1" applyFill="1" applyBorder="1" applyAlignment="1">
      <alignment horizontal="right"/>
    </xf>
    <xf numFmtId="9" fontId="38" fillId="8" borderId="0" xfId="6" applyFont="1" applyFill="1" applyBorder="1" applyAlignment="1">
      <alignment horizontal="right"/>
    </xf>
    <xf numFmtId="9" fontId="38" fillId="8" borderId="16" xfId="6" applyFont="1" applyFill="1" applyBorder="1" applyAlignment="1">
      <alignment horizontal="right"/>
    </xf>
    <xf numFmtId="9" fontId="0" fillId="8" borderId="66" xfId="6" applyFont="1" applyFill="1" applyBorder="1" applyAlignment="1">
      <alignment horizontal="right"/>
    </xf>
    <xf numFmtId="0" fontId="38" fillId="8" borderId="14" xfId="4" applyFont="1" applyFill="1" applyBorder="1"/>
    <xf numFmtId="166" fontId="2" fillId="8" borderId="7" xfId="9" applyNumberFormat="1" applyFont="1" applyFill="1" applyBorder="1" applyAlignment="1">
      <alignment horizontal="center"/>
    </xf>
    <xf numFmtId="9" fontId="0" fillId="8" borderId="7" xfId="6" applyFont="1" applyFill="1" applyBorder="1" applyAlignment="1">
      <alignment horizontal="right"/>
    </xf>
    <xf numFmtId="166" fontId="38" fillId="8" borderId="7" xfId="9" applyNumberFormat="1" applyFont="1" applyFill="1" applyBorder="1"/>
    <xf numFmtId="9" fontId="38" fillId="8" borderId="7" xfId="6" applyFont="1" applyFill="1" applyBorder="1" applyAlignment="1">
      <alignment horizontal="right"/>
    </xf>
    <xf numFmtId="9" fontId="38" fillId="8" borderId="14" xfId="6" applyFont="1" applyFill="1" applyBorder="1" applyAlignment="1">
      <alignment horizontal="right"/>
    </xf>
    <xf numFmtId="9" fontId="0" fillId="8" borderId="15" xfId="6" applyFont="1" applyFill="1" applyBorder="1" applyAlignment="1">
      <alignment horizontal="right"/>
    </xf>
    <xf numFmtId="169" fontId="2" fillId="3" borderId="0" xfId="4" applyNumberFormat="1" applyFill="1"/>
    <xf numFmtId="0" fontId="38" fillId="8" borderId="37" xfId="4" applyFont="1" applyFill="1" applyBorder="1"/>
    <xf numFmtId="0" fontId="2" fillId="8" borderId="44" xfId="4" applyFill="1" applyBorder="1"/>
    <xf numFmtId="0" fontId="2" fillId="8" borderId="31" xfId="4" applyFill="1" applyBorder="1"/>
    <xf numFmtId="0" fontId="2" fillId="8" borderId="32" xfId="4" applyFill="1" applyBorder="1"/>
    <xf numFmtId="0" fontId="2" fillId="3" borderId="16" xfId="4" applyFill="1" applyBorder="1"/>
    <xf numFmtId="0" fontId="38" fillId="5" borderId="0" xfId="3" applyFont="1" applyFill="1" applyAlignment="1">
      <alignment horizontal="center" vertical="center"/>
    </xf>
    <xf numFmtId="0" fontId="51" fillId="5" borderId="0" xfId="4" applyFont="1" applyFill="1" applyAlignment="1" applyProtection="1">
      <alignment horizontal="center" vertical="center" wrapText="1"/>
      <protection locked="0"/>
    </xf>
    <xf numFmtId="0" fontId="51" fillId="5" borderId="0" xfId="4" applyFont="1" applyFill="1" applyAlignment="1">
      <alignment horizontal="center" vertical="center" wrapText="1"/>
    </xf>
    <xf numFmtId="9" fontId="38" fillId="5" borderId="38" xfId="6" applyFont="1" applyFill="1" applyBorder="1" applyAlignment="1">
      <alignment horizontal="center" vertical="center"/>
    </xf>
    <xf numFmtId="9" fontId="38" fillId="5" borderId="32" xfId="6" applyFont="1" applyFill="1" applyBorder="1" applyAlignment="1">
      <alignment horizontal="center" vertical="center"/>
    </xf>
    <xf numFmtId="0" fontId="38" fillId="2" borderId="16" xfId="4" applyFont="1" applyFill="1" applyBorder="1"/>
    <xf numFmtId="165" fontId="38" fillId="2" borderId="0" xfId="3" applyNumberFormat="1" applyFont="1" applyFill="1" applyAlignment="1">
      <alignment horizontal="center" vertical="center"/>
    </xf>
    <xf numFmtId="165" fontId="51" fillId="2" borderId="0" xfId="4" applyNumberFormat="1" applyFont="1" applyFill="1" applyAlignment="1">
      <alignment horizontal="center" vertical="center" wrapText="1"/>
    </xf>
    <xf numFmtId="168" fontId="0" fillId="2" borderId="16" xfId="6" applyNumberFormat="1" applyFont="1" applyFill="1" applyBorder="1" applyAlignment="1">
      <alignment horizontal="right"/>
    </xf>
    <xf numFmtId="165" fontId="0" fillId="7" borderId="0" xfId="6" applyNumberFormat="1" applyFont="1" applyFill="1" applyBorder="1" applyAlignment="1">
      <alignment horizontal="center"/>
    </xf>
    <xf numFmtId="0" fontId="38" fillId="3" borderId="14" xfId="4" applyFont="1" applyFill="1" applyBorder="1"/>
    <xf numFmtId="165" fontId="2" fillId="7" borderId="7" xfId="6" applyNumberFormat="1" applyFont="1" applyFill="1" applyBorder="1" applyAlignment="1">
      <alignment horizontal="center"/>
    </xf>
    <xf numFmtId="168" fontId="0" fillId="2" borderId="7" xfId="6" applyNumberFormat="1" applyFont="1" applyFill="1" applyBorder="1" applyAlignment="1">
      <alignment horizontal="right"/>
    </xf>
    <xf numFmtId="168" fontId="0" fillId="2" borderId="14" xfId="6" applyNumberFormat="1" applyFont="1" applyFill="1" applyBorder="1" applyAlignment="1">
      <alignment horizontal="right"/>
    </xf>
    <xf numFmtId="9" fontId="0" fillId="2" borderId="15" xfId="6" applyFont="1" applyFill="1" applyBorder="1" applyAlignment="1">
      <alignment horizontal="right"/>
    </xf>
    <xf numFmtId="0" fontId="2" fillId="3" borderId="31" xfId="4" applyFill="1" applyBorder="1"/>
    <xf numFmtId="9" fontId="0" fillId="3" borderId="32" xfId="6" applyFont="1" applyFill="1" applyBorder="1"/>
    <xf numFmtId="0" fontId="2" fillId="3" borderId="32" xfId="4" applyFill="1" applyBorder="1"/>
    <xf numFmtId="9" fontId="0" fillId="3" borderId="13" xfId="6" applyFont="1" applyFill="1" applyBorder="1"/>
    <xf numFmtId="0" fontId="2" fillId="3" borderId="13" xfId="4" applyFill="1" applyBorder="1"/>
    <xf numFmtId="0" fontId="38" fillId="5" borderId="7" xfId="4" applyFont="1" applyFill="1" applyBorder="1"/>
    <xf numFmtId="9" fontId="38" fillId="5" borderId="15" xfId="6" applyFont="1" applyFill="1" applyBorder="1"/>
    <xf numFmtId="0" fontId="2" fillId="3" borderId="15" xfId="4" applyFill="1" applyBorder="1"/>
    <xf numFmtId="0" fontId="2" fillId="3" borderId="37" xfId="4" applyFill="1" applyBorder="1"/>
    <xf numFmtId="0" fontId="38" fillId="5" borderId="44" xfId="3" applyFont="1" applyFill="1" applyBorder="1" applyAlignment="1">
      <alignment horizontal="center" vertical="center"/>
    </xf>
    <xf numFmtId="9" fontId="38" fillId="5" borderId="44" xfId="6" applyFont="1" applyFill="1" applyBorder="1" applyAlignment="1">
      <alignment horizontal="center" vertical="center"/>
    </xf>
    <xf numFmtId="0" fontId="51" fillId="5" borderId="44" xfId="4" applyFont="1" applyFill="1" applyBorder="1" applyAlignment="1" applyProtection="1">
      <alignment horizontal="center" vertical="center" wrapText="1"/>
      <protection locked="0"/>
    </xf>
    <xf numFmtId="0" fontId="51" fillId="5" borderId="44" xfId="4" applyFont="1" applyFill="1" applyBorder="1" applyAlignment="1">
      <alignment horizontal="center" vertical="center" wrapText="1"/>
    </xf>
    <xf numFmtId="9" fontId="38" fillId="5" borderId="37" xfId="6" applyFont="1" applyFill="1" applyBorder="1" applyAlignment="1">
      <alignment horizontal="center" vertical="center"/>
    </xf>
    <xf numFmtId="0" fontId="38" fillId="2" borderId="14" xfId="4" applyFont="1" applyFill="1" applyBorder="1"/>
    <xf numFmtId="165" fontId="2" fillId="2" borderId="7" xfId="4" applyNumberFormat="1" applyFill="1" applyBorder="1" applyAlignment="1">
      <alignment horizontal="right"/>
    </xf>
    <xf numFmtId="0" fontId="2" fillId="3" borderId="23" xfId="4" applyFill="1" applyBorder="1"/>
    <xf numFmtId="0" fontId="2" fillId="3" borderId="67" xfId="4" applyFill="1" applyBorder="1"/>
    <xf numFmtId="0" fontId="2" fillId="3" borderId="5" xfId="4" applyFill="1" applyBorder="1"/>
    <xf numFmtId="166" fontId="5" fillId="3" borderId="0" xfId="1" applyNumberFormat="1" applyFont="1" applyFill="1" applyAlignment="1">
      <alignment vertical="center"/>
    </xf>
    <xf numFmtId="164" fontId="5" fillId="3" borderId="0" xfId="2" applyNumberFormat="1" applyFont="1" applyFill="1" applyAlignment="1" applyProtection="1">
      <alignment vertical="center"/>
      <protection locked="0"/>
    </xf>
    <xf numFmtId="5" fontId="49" fillId="2" borderId="1" xfId="4" applyNumberFormat="1" applyFont="1" applyFill="1" applyBorder="1" applyAlignment="1">
      <alignment horizontal="center" vertical="center" wrapText="1"/>
    </xf>
    <xf numFmtId="5" fontId="49" fillId="2" borderId="21" xfId="4" applyNumberFormat="1" applyFont="1" applyFill="1" applyBorder="1" applyAlignment="1">
      <alignment horizontal="center" vertical="center" wrapText="1"/>
    </xf>
    <xf numFmtId="5" fontId="49" fillId="2" borderId="0" xfId="4" applyNumberFormat="1" applyFont="1" applyFill="1" applyAlignment="1">
      <alignment horizontal="center" vertical="center" wrapText="1"/>
    </xf>
    <xf numFmtId="5" fontId="49" fillId="2" borderId="22" xfId="4" applyNumberFormat="1" applyFont="1" applyFill="1" applyBorder="1" applyAlignment="1">
      <alignment horizontal="center" vertical="center" wrapText="1"/>
    </xf>
    <xf numFmtId="5" fontId="21" fillId="7" borderId="22" xfId="4" quotePrefix="1" applyNumberFormat="1" applyFont="1" applyFill="1" applyBorder="1" applyAlignment="1" applyProtection="1">
      <alignment horizontal="right" vertical="center" wrapText="1"/>
      <protection locked="0"/>
    </xf>
    <xf numFmtId="5" fontId="21" fillId="7" borderId="22" xfId="4" applyNumberFormat="1" applyFont="1" applyFill="1" applyBorder="1" applyAlignment="1" applyProtection="1">
      <alignment horizontal="right" vertical="center" wrapText="1"/>
      <protection locked="0"/>
    </xf>
    <xf numFmtId="5" fontId="21" fillId="8" borderId="22" xfId="4" applyNumberFormat="1" applyFont="1" applyFill="1" applyBorder="1" applyAlignment="1" applyProtection="1">
      <alignment horizontal="right" vertical="center" wrapText="1"/>
      <protection locked="0"/>
    </xf>
    <xf numFmtId="5" fontId="5" fillId="2" borderId="1" xfId="3" applyNumberFormat="1" applyFont="1" applyFill="1" applyBorder="1" applyAlignment="1" applyProtection="1">
      <alignment vertical="center"/>
      <protection locked="0"/>
    </xf>
    <xf numFmtId="5" fontId="21" fillId="2" borderId="21" xfId="4" applyNumberFormat="1" applyFont="1" applyFill="1" applyBorder="1" applyAlignment="1" applyProtection="1">
      <alignment horizontal="right" vertical="center" wrapText="1"/>
      <protection locked="0"/>
    </xf>
    <xf numFmtId="5" fontId="21" fillId="2" borderId="0" xfId="4" applyNumberFormat="1" applyFont="1" applyFill="1" applyAlignment="1" applyProtection="1">
      <alignment horizontal="right" vertical="center" wrapText="1"/>
      <protection locked="0"/>
    </xf>
    <xf numFmtId="5" fontId="21" fillId="2" borderId="22" xfId="4" applyNumberFormat="1" applyFont="1" applyFill="1" applyBorder="1" applyAlignment="1" applyProtection="1">
      <alignment horizontal="right" vertical="center" wrapText="1"/>
      <protection locked="0"/>
    </xf>
    <xf numFmtId="5" fontId="21" fillId="2" borderId="1" xfId="4" applyNumberFormat="1" applyFont="1" applyFill="1" applyBorder="1" applyAlignment="1" applyProtection="1">
      <alignment horizontal="right" vertical="center" wrapText="1"/>
      <protection locked="0"/>
    </xf>
    <xf numFmtId="5" fontId="21" fillId="7" borderId="1" xfId="4" applyNumberFormat="1" applyFont="1" applyFill="1" applyBorder="1" applyAlignment="1" applyProtection="1">
      <alignment horizontal="center" vertical="center" wrapText="1"/>
      <protection locked="0"/>
    </xf>
    <xf numFmtId="5" fontId="5" fillId="5" borderId="45" xfId="1" applyNumberFormat="1" applyFont="1" applyFill="1" applyBorder="1" applyAlignment="1">
      <alignment vertical="center"/>
    </xf>
    <xf numFmtId="5" fontId="5" fillId="5" borderId="43" xfId="3" applyNumberFormat="1" applyFont="1" applyFill="1" applyBorder="1" applyAlignment="1">
      <alignment vertical="center"/>
    </xf>
    <xf numFmtId="5" fontId="5" fillId="5" borderId="44" xfId="3" applyNumberFormat="1" applyFont="1" applyFill="1" applyBorder="1" applyAlignment="1">
      <alignment vertical="center"/>
    </xf>
    <xf numFmtId="5" fontId="5" fillId="5" borderId="46" xfId="3" applyNumberFormat="1" applyFont="1" applyFill="1" applyBorder="1" applyAlignment="1">
      <alignment vertical="center"/>
    </xf>
    <xf numFmtId="5" fontId="5" fillId="5" borderId="45" xfId="3" applyNumberFormat="1" applyFont="1" applyFill="1" applyBorder="1" applyAlignment="1">
      <alignment vertical="center"/>
    </xf>
    <xf numFmtId="5" fontId="13" fillId="3" borderId="23" xfId="4" applyNumberFormat="1" applyFont="1" applyFill="1" applyBorder="1" applyAlignment="1">
      <alignment vertical="center"/>
    </xf>
    <xf numFmtId="5" fontId="13" fillId="3" borderId="5" xfId="4" applyNumberFormat="1" applyFont="1" applyFill="1" applyBorder="1" applyAlignment="1">
      <alignment vertical="center"/>
    </xf>
    <xf numFmtId="0" fontId="6" fillId="3" borderId="2" xfId="3" applyFont="1" applyFill="1" applyBorder="1" applyAlignment="1">
      <alignment horizontal="left" vertical="center" wrapText="1"/>
    </xf>
    <xf numFmtId="0" fontId="7" fillId="3" borderId="1" xfId="3" applyFont="1" applyFill="1" applyBorder="1" applyAlignment="1">
      <alignment horizontal="left" vertical="center" wrapText="1"/>
    </xf>
    <xf numFmtId="0" fontId="50" fillId="0" borderId="47" xfId="3" applyFont="1" applyBorder="1" applyAlignment="1">
      <alignment horizontal="center" vertical="top"/>
    </xf>
    <xf numFmtId="0" fontId="52" fillId="0" borderId="53" xfId="3" applyFont="1" applyBorder="1" applyAlignment="1">
      <alignment wrapText="1"/>
    </xf>
    <xf numFmtId="0" fontId="10" fillId="0" borderId="54" xfId="3" applyFont="1" applyBorder="1" applyAlignment="1">
      <alignment horizontal="center" vertical="top" wrapText="1"/>
    </xf>
    <xf numFmtId="0" fontId="2" fillId="0" borderId="55" xfId="3" applyBorder="1" applyAlignment="1">
      <alignment wrapText="1"/>
    </xf>
    <xf numFmtId="0" fontId="53" fillId="0" borderId="56" xfId="3" applyFont="1" applyBorder="1" applyAlignment="1">
      <alignment wrapText="1"/>
    </xf>
    <xf numFmtId="0" fontId="55" fillId="0" borderId="55" xfId="3" applyFont="1" applyBorder="1" applyAlignment="1">
      <alignment wrapText="1"/>
    </xf>
    <xf numFmtId="0" fontId="53" fillId="0" borderId="57" xfId="3" applyFont="1" applyBorder="1" applyAlignment="1">
      <alignment wrapText="1"/>
    </xf>
    <xf numFmtId="0" fontId="53" fillId="0" borderId="53" xfId="3" applyFont="1" applyBorder="1" applyAlignment="1">
      <alignment wrapText="1"/>
    </xf>
    <xf numFmtId="43" fontId="2" fillId="0" borderId="0" xfId="1" applyFont="1" applyFill="1"/>
    <xf numFmtId="43" fontId="2" fillId="0" borderId="0" xfId="3" applyNumberFormat="1"/>
    <xf numFmtId="0" fontId="52" fillId="0" borderId="0" xfId="3" applyFont="1" applyAlignment="1">
      <alignment wrapText="1"/>
    </xf>
    <xf numFmtId="0" fontId="50" fillId="0" borderId="38" xfId="3" applyFont="1" applyBorder="1" applyAlignment="1">
      <alignment horizontal="center" vertical="top"/>
    </xf>
    <xf numFmtId="0" fontId="53" fillId="0" borderId="59" xfId="3" applyFont="1" applyBorder="1" applyAlignment="1">
      <alignment wrapText="1"/>
    </xf>
    <xf numFmtId="0" fontId="10" fillId="0" borderId="31" xfId="3" applyFont="1" applyBorder="1" applyAlignment="1">
      <alignment horizontal="center" vertical="top" wrapText="1"/>
    </xf>
    <xf numFmtId="0" fontId="54" fillId="0" borderId="54" xfId="3" applyFont="1" applyBorder="1" applyAlignment="1">
      <alignment vertical="top" wrapText="1"/>
    </xf>
    <xf numFmtId="0" fontId="22" fillId="0" borderId="21" xfId="3" applyFont="1" applyBorder="1" applyAlignment="1">
      <alignment horizontal="left" vertical="top" wrapText="1"/>
    </xf>
    <xf numFmtId="0" fontId="18" fillId="0" borderId="0" xfId="3" applyFont="1" applyAlignment="1" applyProtection="1">
      <alignment vertical="center" wrapText="1"/>
      <protection locked="0"/>
    </xf>
    <xf numFmtId="5" fontId="19" fillId="0" borderId="1" xfId="3" applyNumberFormat="1" applyFont="1" applyBorder="1" applyAlignment="1" applyProtection="1">
      <alignment vertical="center"/>
      <protection locked="0"/>
    </xf>
    <xf numFmtId="5" fontId="18" fillId="0" borderId="21" xfId="4" applyNumberFormat="1" applyFont="1" applyBorder="1" applyAlignment="1" applyProtection="1">
      <alignment horizontal="right" vertical="center" wrapText="1"/>
      <protection locked="0"/>
    </xf>
    <xf numFmtId="5" fontId="18" fillId="0" borderId="0" xfId="4" applyNumberFormat="1" applyFont="1" applyAlignment="1" applyProtection="1">
      <alignment horizontal="right" vertical="center" wrapText="1"/>
      <protection locked="0"/>
    </xf>
    <xf numFmtId="5" fontId="18" fillId="0" borderId="22" xfId="4" applyNumberFormat="1" applyFont="1" applyBorder="1" applyAlignment="1" applyProtection="1">
      <alignment horizontal="right" vertical="center" wrapText="1"/>
      <protection locked="0"/>
    </xf>
    <xf numFmtId="5" fontId="18" fillId="0" borderId="1" xfId="4" applyNumberFormat="1" applyFont="1" applyBorder="1" applyAlignment="1" applyProtection="1">
      <alignment horizontal="right" vertical="center" wrapText="1"/>
      <protection locked="0"/>
    </xf>
    <xf numFmtId="0" fontId="55" fillId="0" borderId="1" xfId="4" applyFont="1" applyBorder="1" applyAlignment="1">
      <alignment vertical="center" wrapText="1"/>
    </xf>
    <xf numFmtId="0" fontId="55" fillId="0" borderId="1" xfId="4" applyFont="1" applyBorder="1" applyAlignment="1">
      <alignment vertical="center"/>
    </xf>
    <xf numFmtId="0" fontId="28" fillId="0" borderId="0" xfId="4" applyFont="1" applyAlignment="1">
      <alignment horizontal="right" vertical="center"/>
    </xf>
    <xf numFmtId="0" fontId="29" fillId="0" borderId="10" xfId="4" applyFont="1" applyBorder="1" applyAlignment="1">
      <alignment horizontal="left" vertical="center"/>
    </xf>
    <xf numFmtId="0" fontId="29" fillId="0" borderId="11" xfId="4" applyFont="1" applyBorder="1" applyAlignment="1">
      <alignment horizontal="left" vertical="center"/>
    </xf>
    <xf numFmtId="0" fontId="29" fillId="0" borderId="12" xfId="4" applyFont="1" applyBorder="1" applyAlignment="1">
      <alignment horizontal="left" vertical="center"/>
    </xf>
    <xf numFmtId="0" fontId="26" fillId="0" borderId="0" xfId="4" applyFont="1" applyAlignment="1">
      <alignment horizontal="left" vertical="center"/>
    </xf>
    <xf numFmtId="0" fontId="27" fillId="0" borderId="0" xfId="4" applyFont="1" applyAlignment="1">
      <alignment horizontal="left" vertical="center"/>
    </xf>
    <xf numFmtId="0" fontId="28" fillId="0" borderId="0" xfId="4" applyFont="1" applyAlignment="1">
      <alignment horizontal="left" vertical="center"/>
    </xf>
    <xf numFmtId="0" fontId="28" fillId="0" borderId="10" xfId="4" applyFont="1" applyBorder="1" applyAlignment="1">
      <alignment horizontal="left" vertical="center"/>
    </xf>
    <xf numFmtId="0" fontId="28" fillId="0" borderId="11" xfId="4" applyFont="1" applyBorder="1" applyAlignment="1">
      <alignment horizontal="left" vertical="center"/>
    </xf>
    <xf numFmtId="0" fontId="28" fillId="0" borderId="12" xfId="4" applyFont="1" applyBorder="1" applyAlignment="1">
      <alignment horizontal="left" vertical="center"/>
    </xf>
    <xf numFmtId="0" fontId="28" fillId="0" borderId="13" xfId="4" applyFont="1" applyBorder="1" applyAlignment="1">
      <alignment horizontal="left" vertical="center"/>
    </xf>
    <xf numFmtId="49" fontId="29" fillId="0" borderId="14" xfId="4" applyNumberFormat="1" applyFont="1" applyBorder="1" applyAlignment="1">
      <alignment horizontal="left" vertical="center"/>
    </xf>
    <xf numFmtId="49" fontId="29" fillId="0" borderId="7" xfId="4" applyNumberFormat="1" applyFont="1" applyBorder="1" applyAlignment="1">
      <alignment horizontal="left" vertical="center"/>
    </xf>
    <xf numFmtId="49" fontId="29" fillId="0" borderId="15" xfId="4" applyNumberFormat="1" applyFont="1" applyBorder="1" applyAlignment="1">
      <alignment horizontal="left" vertical="center"/>
    </xf>
    <xf numFmtId="0" fontId="29" fillId="0" borderId="10" xfId="4" applyFont="1" applyBorder="1" applyAlignment="1">
      <alignment horizontal="left" vertical="center" wrapText="1"/>
    </xf>
    <xf numFmtId="0" fontId="29" fillId="0" borderId="11" xfId="4" applyFont="1" applyBorder="1" applyAlignment="1">
      <alignment horizontal="left" vertical="center" wrapText="1"/>
    </xf>
    <xf numFmtId="0" fontId="29" fillId="0" borderId="12" xfId="4" applyFont="1" applyBorder="1" applyAlignment="1">
      <alignment horizontal="left" vertical="center" wrapText="1"/>
    </xf>
    <xf numFmtId="0" fontId="30" fillId="0" borderId="10" xfId="5" applyBorder="1" applyAlignment="1">
      <alignment horizontal="left" vertical="center"/>
    </xf>
    <xf numFmtId="0" fontId="34" fillId="3" borderId="16" xfId="4" applyFont="1" applyFill="1" applyBorder="1" applyAlignment="1">
      <alignment horizontal="left" vertical="center" wrapText="1"/>
    </xf>
    <xf numFmtId="0" fontId="34" fillId="3" borderId="0" xfId="4" applyFont="1" applyFill="1" applyAlignment="1">
      <alignment horizontal="left" vertical="center" wrapText="1"/>
    </xf>
    <xf numFmtId="0" fontId="35" fillId="5" borderId="17" xfId="4" applyFont="1" applyFill="1" applyBorder="1" applyAlignment="1">
      <alignment horizontal="center" wrapText="1"/>
    </xf>
    <xf numFmtId="0" fontId="35" fillId="5" borderId="9" xfId="4" applyFont="1" applyFill="1" applyBorder="1" applyAlignment="1">
      <alignment horizontal="center" wrapText="1"/>
    </xf>
    <xf numFmtId="0" fontId="35" fillId="5" borderId="18" xfId="4" applyFont="1" applyFill="1" applyBorder="1" applyAlignment="1">
      <alignment horizontal="center" wrapText="1"/>
    </xf>
    <xf numFmtId="0" fontId="21" fillId="5" borderId="19" xfId="4" applyFont="1" applyFill="1" applyBorder="1" applyAlignment="1">
      <alignment horizontal="center" wrapText="1"/>
    </xf>
    <xf numFmtId="0" fontId="21" fillId="5" borderId="20" xfId="4" applyFont="1" applyFill="1" applyBorder="1" applyAlignment="1">
      <alignment horizontal="center" wrapText="1"/>
    </xf>
    <xf numFmtId="0" fontId="21" fillId="5" borderId="8" xfId="4" applyFont="1" applyFill="1" applyBorder="1" applyAlignment="1">
      <alignment horizontal="center" wrapText="1"/>
    </xf>
    <xf numFmtId="0" fontId="36" fillId="0" borderId="0" xfId="3" applyFont="1" applyAlignment="1">
      <alignment horizontal="left" vertical="center"/>
    </xf>
    <xf numFmtId="0" fontId="21" fillId="0" borderId="19" xfId="3" applyFont="1" applyBorder="1" applyAlignment="1">
      <alignment horizontal="left" vertical="center" wrapText="1"/>
    </xf>
    <xf numFmtId="0" fontId="21" fillId="0" borderId="20" xfId="3" applyFont="1" applyBorder="1" applyAlignment="1">
      <alignment horizontal="left" vertical="center" wrapText="1"/>
    </xf>
    <xf numFmtId="0" fontId="21" fillId="0" borderId="8" xfId="3" applyFont="1" applyBorder="1" applyAlignment="1">
      <alignment horizontal="left" vertical="center" wrapText="1"/>
    </xf>
    <xf numFmtId="0" fontId="13" fillId="0" borderId="19" xfId="4" applyFont="1" applyBorder="1" applyAlignment="1">
      <alignment horizontal="left" vertical="center" wrapText="1"/>
    </xf>
    <xf numFmtId="0" fontId="13" fillId="0" borderId="20" xfId="4" applyFont="1" applyBorder="1" applyAlignment="1">
      <alignment horizontal="left" vertical="center" wrapText="1"/>
    </xf>
    <xf numFmtId="0" fontId="13" fillId="0" borderId="8" xfId="4" applyFont="1" applyBorder="1" applyAlignment="1">
      <alignment horizontal="left" vertical="center" wrapText="1"/>
    </xf>
    <xf numFmtId="0" fontId="38" fillId="5" borderId="2" xfId="3" applyFont="1" applyFill="1" applyBorder="1" applyAlignment="1">
      <alignment horizontal="center" vertical="center"/>
    </xf>
    <xf numFmtId="0" fontId="28" fillId="0" borderId="0" xfId="3" applyFont="1" applyAlignment="1">
      <alignment horizontal="left" vertical="center"/>
    </xf>
    <xf numFmtId="0" fontId="42" fillId="0" borderId="21" xfId="3" applyFont="1" applyBorder="1" applyAlignment="1">
      <alignment horizontal="left" vertical="center" wrapText="1"/>
    </xf>
    <xf numFmtId="0" fontId="42" fillId="0" borderId="0" xfId="3" applyFont="1" applyAlignment="1">
      <alignment horizontal="left" vertical="center" wrapText="1"/>
    </xf>
    <xf numFmtId="0" fontId="45" fillId="4" borderId="16" xfId="3" applyFont="1" applyFill="1" applyBorder="1" applyAlignment="1">
      <alignment horizontal="left" vertical="center" wrapText="1"/>
    </xf>
    <xf numFmtId="0" fontId="45" fillId="4" borderId="0" xfId="3" applyFont="1" applyFill="1" applyAlignment="1">
      <alignment horizontal="left" vertical="center" wrapText="1"/>
    </xf>
    <xf numFmtId="0" fontId="46" fillId="0" borderId="16" xfId="7" applyFont="1" applyBorder="1" applyAlignment="1">
      <alignment horizontal="left"/>
    </xf>
    <xf numFmtId="0" fontId="46" fillId="0" borderId="0" xfId="7" applyFont="1" applyAlignment="1">
      <alignment horizontal="left"/>
    </xf>
    <xf numFmtId="0" fontId="45" fillId="0" borderId="2" xfId="7" applyFont="1" applyBorder="1" applyAlignment="1">
      <alignment horizontal="center" vertical="center" wrapText="1"/>
    </xf>
    <xf numFmtId="0" fontId="45" fillId="0" borderId="26" xfId="7" applyFont="1" applyBorder="1" applyAlignment="1">
      <alignment horizontal="center" vertical="center" wrapText="1"/>
    </xf>
    <xf numFmtId="0" fontId="45" fillId="0" borderId="27" xfId="7" applyFont="1" applyBorder="1" applyAlignment="1">
      <alignment horizontal="center" vertical="center" wrapText="1"/>
    </xf>
    <xf numFmtId="0" fontId="45" fillId="0" borderId="30" xfId="7" applyFont="1" applyBorder="1" applyAlignment="1">
      <alignment horizontal="center" vertical="center" wrapText="1"/>
    </xf>
    <xf numFmtId="0" fontId="45" fillId="0" borderId="35" xfId="7" applyFont="1" applyBorder="1" applyAlignment="1">
      <alignment horizontal="center" vertical="center" wrapText="1"/>
    </xf>
    <xf numFmtId="165" fontId="45" fillId="0" borderId="3" xfId="6" applyNumberFormat="1" applyFont="1" applyFill="1" applyBorder="1" applyAlignment="1">
      <alignment horizontal="center" vertical="center" wrapText="1"/>
    </xf>
    <xf numFmtId="165" fontId="45" fillId="0" borderId="1" xfId="6" applyNumberFormat="1" applyFont="1" applyFill="1" applyBorder="1" applyAlignment="1">
      <alignment horizontal="center" vertical="center" wrapText="1"/>
    </xf>
    <xf numFmtId="165" fontId="45" fillId="0" borderId="36" xfId="6" applyNumberFormat="1" applyFont="1" applyFill="1" applyBorder="1" applyAlignment="1">
      <alignment horizontal="center" vertical="center" wrapText="1"/>
    </xf>
    <xf numFmtId="0" fontId="45" fillId="0" borderId="24" xfId="7" applyFont="1" applyBorder="1" applyAlignment="1">
      <alignment horizontal="center" vertical="center" wrapText="1"/>
    </xf>
    <xf numFmtId="0" fontId="45" fillId="0" borderId="28" xfId="7" applyFont="1" applyBorder="1" applyAlignment="1">
      <alignment horizontal="center" vertical="center" wrapText="1"/>
    </xf>
    <xf numFmtId="0" fontId="45" fillId="0" borderId="29" xfId="7" applyFont="1" applyBorder="1" applyAlignment="1">
      <alignment horizontal="center" vertical="center" wrapText="1"/>
    </xf>
    <xf numFmtId="0" fontId="45" fillId="0" borderId="33" xfId="7" applyFont="1" applyBorder="1" applyAlignment="1">
      <alignment horizontal="center" vertical="center" wrapText="1"/>
    </xf>
    <xf numFmtId="0" fontId="45" fillId="0" borderId="25" xfId="7" applyFont="1" applyBorder="1" applyAlignment="1">
      <alignment horizontal="center" vertical="center" wrapText="1"/>
    </xf>
    <xf numFmtId="0" fontId="45" fillId="0" borderId="34" xfId="7" applyFont="1" applyBorder="1" applyAlignment="1">
      <alignment horizontal="center" vertical="center" wrapText="1"/>
    </xf>
    <xf numFmtId="0" fontId="38" fillId="0" borderId="38" xfId="3" applyFont="1" applyBorder="1" applyAlignment="1">
      <alignment horizontal="center" vertical="center"/>
    </xf>
    <xf numFmtId="0" fontId="38" fillId="0" borderId="32" xfId="3" applyFont="1" applyBorder="1" applyAlignment="1">
      <alignment horizontal="center" vertical="center"/>
    </xf>
    <xf numFmtId="0" fontId="38" fillId="0" borderId="14" xfId="3" applyFont="1" applyBorder="1" applyAlignment="1">
      <alignment horizontal="center" vertical="center"/>
    </xf>
    <xf numFmtId="0" fontId="38" fillId="0" borderId="15" xfId="3" applyFont="1" applyBorder="1" applyAlignment="1">
      <alignment horizontal="center" vertical="center"/>
    </xf>
    <xf numFmtId="0" fontId="2" fillId="0" borderId="31" xfId="3" applyBorder="1" applyAlignment="1">
      <alignment horizontal="center"/>
    </xf>
    <xf numFmtId="0" fontId="38" fillId="0" borderId="31" xfId="3" applyFont="1" applyBorder="1" applyAlignment="1">
      <alignment horizontal="center" vertical="center"/>
    </xf>
    <xf numFmtId="0" fontId="38" fillId="0" borderId="7" xfId="3" applyFont="1" applyBorder="1" applyAlignment="1">
      <alignment horizontal="center" vertical="center"/>
    </xf>
    <xf numFmtId="0" fontId="21" fillId="0" borderId="31" xfId="3" applyFont="1" applyBorder="1" applyAlignment="1">
      <alignment horizontal="center" vertical="center" wrapText="1"/>
    </xf>
    <xf numFmtId="0" fontId="45" fillId="0" borderId="16" xfId="7" applyFont="1" applyBorder="1" applyAlignment="1">
      <alignment horizontal="center" vertical="center" wrapText="1"/>
    </xf>
    <xf numFmtId="0" fontId="45" fillId="0" borderId="14" xfId="7" applyFont="1" applyBorder="1" applyAlignment="1">
      <alignment horizontal="center" vertical="center" wrapText="1"/>
    </xf>
    <xf numFmtId="0" fontId="13" fillId="0" borderId="31" xfId="3" applyFont="1" applyBorder="1" applyAlignment="1">
      <alignment horizontal="center"/>
    </xf>
    <xf numFmtId="0" fontId="44" fillId="0" borderId="0" xfId="4" applyFont="1" applyAlignment="1">
      <alignment horizontal="left" vertical="center" wrapText="1"/>
    </xf>
    <xf numFmtId="0" fontId="45" fillId="0" borderId="19" xfId="7" applyFont="1" applyBorder="1" applyAlignment="1">
      <alignment horizontal="center" vertical="center" wrapText="1"/>
    </xf>
    <xf numFmtId="0" fontId="45" fillId="0" borderId="20" xfId="7" applyFont="1" applyBorder="1" applyAlignment="1">
      <alignment horizontal="center" vertical="center" wrapText="1"/>
    </xf>
    <xf numFmtId="0" fontId="45" fillId="0" borderId="8" xfId="7" applyFont="1" applyBorder="1" applyAlignment="1">
      <alignment horizontal="center" vertical="center" wrapText="1"/>
    </xf>
    <xf numFmtId="0" fontId="5" fillId="3" borderId="19" xfId="3" applyFont="1" applyFill="1" applyBorder="1" applyAlignment="1" applyProtection="1">
      <alignment horizontal="center" vertical="center" wrapText="1"/>
      <protection locked="0"/>
    </xf>
    <xf numFmtId="0" fontId="5" fillId="3" borderId="8" xfId="3" applyFont="1" applyFill="1" applyBorder="1" applyAlignment="1" applyProtection="1">
      <alignment horizontal="center" vertical="center" wrapText="1"/>
      <protection locked="0"/>
    </xf>
    <xf numFmtId="0" fontId="36" fillId="3" borderId="0" xfId="4" applyFont="1" applyFill="1" applyAlignment="1">
      <alignment horizontal="left" vertical="center"/>
    </xf>
    <xf numFmtId="0" fontId="5" fillId="3" borderId="0" xfId="3" applyFont="1" applyFill="1" applyAlignment="1">
      <alignment horizontal="left" vertical="center" wrapText="1"/>
    </xf>
    <xf numFmtId="0" fontId="5" fillId="3" borderId="7" xfId="3" applyFont="1" applyFill="1" applyBorder="1" applyAlignment="1">
      <alignment vertical="center" wrapText="1"/>
    </xf>
    <xf numFmtId="164" fontId="5" fillId="3" borderId="19" xfId="3" applyNumberFormat="1" applyFont="1" applyFill="1" applyBorder="1" applyAlignment="1" applyProtection="1">
      <alignment horizontal="center" vertical="center"/>
      <protection locked="0"/>
    </xf>
    <xf numFmtId="164" fontId="5" fillId="3" borderId="20" xfId="3" applyNumberFormat="1" applyFont="1" applyFill="1" applyBorder="1" applyAlignment="1" applyProtection="1">
      <alignment horizontal="center" vertical="center"/>
      <protection locked="0"/>
    </xf>
    <xf numFmtId="164" fontId="5" fillId="3" borderId="8" xfId="3" applyNumberFormat="1" applyFont="1" applyFill="1" applyBorder="1" applyAlignment="1" applyProtection="1">
      <alignment horizontal="center" vertical="center"/>
      <protection locked="0"/>
    </xf>
    <xf numFmtId="0" fontId="8" fillId="3" borderId="19" xfId="3" applyFont="1" applyFill="1" applyBorder="1" applyAlignment="1" applyProtection="1">
      <alignment horizontal="center" vertical="center"/>
      <protection locked="0"/>
    </xf>
    <xf numFmtId="0" fontId="8" fillId="3" borderId="20" xfId="3" applyFont="1" applyFill="1" applyBorder="1" applyAlignment="1" applyProtection="1">
      <alignment horizontal="center" vertical="center"/>
      <protection locked="0"/>
    </xf>
    <xf numFmtId="0" fontId="49" fillId="5" borderId="19" xfId="4" applyFont="1" applyFill="1" applyBorder="1" applyAlignment="1" applyProtection="1">
      <alignment horizontal="center" vertical="center" wrapText="1"/>
      <protection locked="0"/>
    </xf>
    <xf numFmtId="0" fontId="49" fillId="5" borderId="20" xfId="4" applyFont="1" applyFill="1" applyBorder="1" applyAlignment="1" applyProtection="1">
      <alignment horizontal="center" vertical="center" wrapText="1"/>
      <protection locked="0"/>
    </xf>
    <xf numFmtId="0" fontId="49" fillId="5" borderId="8" xfId="4" applyFont="1" applyFill="1" applyBorder="1" applyAlignment="1" applyProtection="1">
      <alignment horizontal="center" vertical="center" wrapText="1"/>
      <protection locked="0"/>
    </xf>
    <xf numFmtId="0" fontId="49" fillId="5" borderId="3" xfId="4" applyFont="1" applyFill="1" applyBorder="1" applyAlignment="1">
      <alignment horizontal="center" vertical="center" wrapText="1"/>
    </xf>
    <xf numFmtId="0" fontId="49" fillId="5" borderId="6" xfId="4" applyFont="1" applyFill="1" applyBorder="1" applyAlignment="1">
      <alignment horizontal="center" vertical="center" wrapText="1"/>
    </xf>
    <xf numFmtId="0" fontId="36" fillId="3" borderId="21" xfId="4" applyFont="1" applyFill="1" applyBorder="1" applyAlignment="1">
      <alignment horizontal="left" vertical="center"/>
    </xf>
    <xf numFmtId="0" fontId="20" fillId="0" borderId="21" xfId="4" applyFont="1" applyBorder="1" applyAlignment="1">
      <alignment horizontal="left" vertical="center" wrapText="1"/>
    </xf>
    <xf numFmtId="0" fontId="20" fillId="0" borderId="0" xfId="4" applyFont="1" applyAlignment="1">
      <alignment horizontal="left" vertical="center" wrapText="1"/>
    </xf>
    <xf numFmtId="0" fontId="38" fillId="3" borderId="7" xfId="4" applyFont="1" applyFill="1" applyBorder="1" applyAlignment="1">
      <alignment horizontal="center"/>
    </xf>
    <xf numFmtId="0" fontId="38" fillId="8" borderId="38" xfId="4" applyFont="1" applyFill="1" applyBorder="1" applyAlignment="1">
      <alignment horizontal="left" vertical="center" wrapText="1"/>
    </xf>
    <xf numFmtId="0" fontId="38" fillId="8" borderId="16" xfId="4" applyFont="1" applyFill="1" applyBorder="1" applyAlignment="1">
      <alignment horizontal="left" vertical="center" wrapText="1"/>
    </xf>
    <xf numFmtId="0" fontId="38" fillId="8" borderId="14" xfId="4" applyFont="1" applyFill="1" applyBorder="1" applyAlignment="1">
      <alignment horizontal="left" vertical="center" wrapText="1"/>
    </xf>
    <xf numFmtId="0" fontId="49" fillId="9" borderId="10" xfId="3" applyFont="1" applyFill="1" applyBorder="1" applyAlignment="1">
      <alignment horizontal="center" vertical="center" wrapText="1"/>
    </xf>
    <xf numFmtId="0" fontId="49" fillId="9" borderId="11" xfId="3" applyFont="1" applyFill="1" applyBorder="1" applyAlignment="1">
      <alignment horizontal="center" vertical="center" wrapText="1"/>
    </xf>
    <xf numFmtId="0" fontId="49" fillId="9" borderId="51" xfId="3" applyFont="1" applyFill="1" applyBorder="1" applyAlignment="1">
      <alignment horizontal="center" vertical="center" wrapText="1"/>
    </xf>
    <xf numFmtId="0" fontId="20" fillId="0" borderId="0" xfId="3" applyFont="1" applyAlignment="1">
      <alignment horizontal="left" vertical="center" wrapText="1"/>
    </xf>
    <xf numFmtId="0" fontId="38" fillId="5" borderId="47" xfId="3" applyFont="1" applyFill="1" applyBorder="1" applyAlignment="1">
      <alignment horizontal="center" vertical="center" wrapText="1"/>
    </xf>
    <xf numFmtId="0" fontId="38" fillId="5" borderId="49" xfId="3" applyFont="1" applyFill="1" applyBorder="1" applyAlignment="1">
      <alignment horizontal="center" vertical="center" wrapText="1"/>
    </xf>
    <xf numFmtId="0" fontId="38" fillId="5" borderId="52" xfId="3" applyFont="1" applyFill="1" applyBorder="1" applyAlignment="1">
      <alignment horizontal="center" vertical="center" wrapText="1"/>
    </xf>
    <xf numFmtId="0" fontId="49" fillId="9" borderId="31" xfId="3" applyFont="1" applyFill="1" applyBorder="1" applyAlignment="1">
      <alignment horizontal="center" vertical="center" wrapText="1"/>
    </xf>
    <xf numFmtId="0" fontId="49" fillId="9" borderId="48" xfId="3" applyFont="1" applyFill="1" applyBorder="1" applyAlignment="1">
      <alignment horizontal="center" vertical="center" wrapText="1"/>
    </xf>
    <xf numFmtId="0" fontId="49" fillId="9" borderId="50" xfId="3" applyFont="1" applyFill="1" applyBorder="1" applyAlignment="1">
      <alignment horizontal="center" vertical="center" wrapText="1"/>
    </xf>
    <xf numFmtId="0" fontId="49" fillId="10" borderId="32" xfId="3" applyFont="1" applyFill="1" applyBorder="1" applyAlignment="1">
      <alignment horizontal="center" vertical="center" wrapText="1"/>
    </xf>
    <xf numFmtId="0" fontId="49" fillId="10" borderId="13" xfId="3" applyFont="1" applyFill="1" applyBorder="1" applyAlignment="1">
      <alignment horizontal="center" vertical="center" wrapText="1"/>
    </xf>
    <xf numFmtId="0" fontId="49" fillId="10" borderId="15" xfId="3" applyFont="1" applyFill="1" applyBorder="1" applyAlignment="1">
      <alignment horizontal="center" vertical="center" wrapText="1"/>
    </xf>
    <xf numFmtId="0" fontId="45" fillId="10" borderId="42" xfId="3" applyFont="1" applyFill="1" applyBorder="1" applyAlignment="1">
      <alignment horizontal="center" vertical="center" wrapText="1"/>
    </xf>
    <xf numFmtId="0" fontId="45" fillId="10" borderId="25" xfId="3" applyFont="1" applyFill="1" applyBorder="1" applyAlignment="1">
      <alignment horizontal="center" vertical="center" wrapText="1"/>
    </xf>
    <xf numFmtId="0" fontId="45" fillId="10" borderId="34" xfId="3" applyFont="1" applyFill="1" applyBorder="1" applyAlignment="1">
      <alignment horizontal="center" vertical="center" wrapText="1"/>
    </xf>
    <xf numFmtId="0" fontId="57" fillId="0" borderId="55" xfId="3" applyFont="1" applyBorder="1" applyAlignment="1">
      <alignment wrapText="1"/>
    </xf>
  </cellXfs>
  <cellStyles count="10">
    <cellStyle name="Comma" xfId="1" builtinId="3"/>
    <cellStyle name="Comma 2 2" xfId="9" xr:uid="{11FB3484-7D79-4E57-A0C4-BADF236FBCF5}"/>
    <cellStyle name="Hyperlink" xfId="5" builtinId="8"/>
    <cellStyle name="Normal" xfId="0" builtinId="0"/>
    <cellStyle name="Normal 14" xfId="4" xr:uid="{4DC1EB70-6AEF-49A6-B38F-EE4EF60286F0}"/>
    <cellStyle name="Normal 14 2" xfId="8" xr:uid="{B26BD5E0-E475-475B-8D75-4D99125C324F}"/>
    <cellStyle name="Normal 2 2" xfId="3" xr:uid="{72C58523-E93F-4693-9282-3EA6120C60D1}"/>
    <cellStyle name="Normal 3 2 2 2" xfId="7" xr:uid="{E7D59285-CD83-4E90-B30E-A6FF5939EADA}"/>
    <cellStyle name="Percent" xfId="2" builtinId="5"/>
    <cellStyle name="Percent 2 4" xfId="6" xr:uid="{4302473B-16F7-45DC-8D4F-1C30066AD7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customXml" Target="../customXml/item3.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WINDOWS\Desktop\FY04\FY04Endowment%20Schedul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Accounting\Susan%20Van%20Leunen\Eminent%20Scholars\Copy%20of%20Eminent%20Scholars%20Payout%20FY16%20Budget%20Request%2006%2022%20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WINDOWS\Desktop\FY04\FY04Endowment%20Schedul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fiore1\AppData\Local\Microsoft\Windows\INetCache\Content.Outlook\4GNO2EKF\Summer%20Operations%20451993%20Budget%20Projections%20FY22%20-%20FY26%20DRAFT%20d%201.11.2021%20v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jholtzma\Downloads\FCFSM%20(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gallaudet\Acctg%20Office\Institution\GUGLTB1A-Trial%20Balanc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dpelosi\AppData\Local\Microsoft\Windows\INetCache\Content.Outlook\JSF81BG5\EG%20Fund%20Revenue%20Alt%20Sort%20New%20for%20FY19%20JUNE%20v%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Accounting\Beth%20Cantrell\Budget\FY16\PW%20Labs%20Lease%20Amortization%20ESTIMATE_FY15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shared/hous.financials/KEVIN/FY2018/HRL%20Project%20Plan/Project%20Plan%20Files%202-4-18/HRL%20PROJECT%20PLAN%20d%201-31-2018%20Org%20927%20913%20933%2093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hared/hous.financials/KEVIN/FY2019/Projects/FY2019%20HRL%20Project%20Plan/FY19%20Project%20Plan%20WP%20&amp;%20Cleanup/HRL%20PROJECT%20PLAN%20%20For%20Clean-Up%20of%20Previous%20Years%20Data%20v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connorcs.sharepoint.com/WIN95/TEMP/MTHF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hared\hous.busmgmt\Facilities%20Project\HRL%20PROJECT%20PLAN\HRL%20PROJECT%20PLAN%20d%207-31-17%20as%20of%208-2-17.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p.nyumc.org/Health%20Plan%20COE/IT%20Strategy/app%20assessment/CF%20IT%20Application%20Assessment%20Tool%200830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dpelosi\AppData\Local\Microsoft\Windows\INetCache\Content.Outlook\OJP1FSCU\2023%20Six-Year%20Plan%20(Part%20I)_Strategies.Tab%206_REVISED-June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hared/hous.financials/Maggie/Banner%20Monthly%20Report-%20Backup/August%202018/Fin_Exp%20for%20month%20August%2031-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holtzma\Downloads\FCFBW%2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ccounting\Beth%20Cantrell\Sources%20and%20Uses\06.30.2019\Program%20Benefits%20FY%202018%20by%20division%20and%20payment%20type_updated%20for%20GMU%20budget%20projection%20FY%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frink\AppData\Local\Microsoft\Windows\INetCache\Content.Outlook\FBDDMT3Z\FCFSM%20(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oconnorcs.sharepoint.com/Accounting/Susan%20Van%20Leunen/Audit%20Preparation/FY2014%20-%202015/Financial%20Statements/Endow%20bals_updat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Sandeep\AppData\Local\Microsoft\Windows\Temporary%20Internet%20Files\Content.Outlook\7RTMHQMS\2012%20GT%20-%20Final\%239%20Pledges%20Receivable%20Rollforward%20and%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connorcs.sharepoint.com/WINDOWS/TEMP/1998%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NCE"/>
      <sheetName val="2004 Fall Dtl"/>
      <sheetName val="2004 Fall Smry"/>
      <sheetName val="FY03 Summary"/>
      <sheetName val="2004 CCAS Fall Dtl "/>
      <sheetName val="2004  ESIA Fall Dtl "/>
      <sheetName val="FY LOOKUP"/>
      <sheetName val="Org_Roll_0201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heet2"/>
      <sheetName val="Gift bal 123115"/>
      <sheetName val="MV 123115"/>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NCE"/>
      <sheetName val="2004 Fall Dtl"/>
      <sheetName val="2004 Fall Smry"/>
      <sheetName val="FY03 Summary"/>
      <sheetName val="2004 CCAS Fall Dtl "/>
      <sheetName val="2004  ESIA Fall Dtl "/>
      <sheetName val="Org_Roll_020107"/>
      <sheetName val="FY LOOKUP"/>
    </sheetNames>
    <sheetDataSet>
      <sheetData sheetId="0"/>
      <sheetData sheetId="1"/>
      <sheetData sheetId="2"/>
      <sheetData sheetId="3"/>
      <sheetData sheetId="4"/>
      <sheetData sheetId="5"/>
      <sheetData sheetId="6" refreshError="1"/>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ion Summary"/>
      <sheetName val="K Sheehan - 451993"/>
      <sheetName val="SO Budget Draft FY22-26"/>
      <sheetName val="Marketing Budget"/>
      <sheetName val="SO Budget Draft FY22-26 (2)"/>
      <sheetName val="Sum Ops Rates 2022-2026"/>
      <sheetName val="Sum Ops Roster"/>
      <sheetName val="Oper Exp 451993 Summer Ops"/>
      <sheetName val="Debt &amp; Telcom Allocation"/>
      <sheetName val="FY2022 Proposed SO Rates"/>
      <sheetName val="BOV Rates 20-21"/>
      <sheetName val="Summer Staff 2019"/>
      <sheetName val="USNWR Rankings"/>
      <sheetName val="SO EOY Analysis 2017-2019"/>
      <sheetName val="Hall Inventory"/>
      <sheetName val="Lookup Tables"/>
    </sheetNames>
    <sheetDataSet>
      <sheetData sheetId="0"/>
      <sheetData sheetId="1" refreshError="1"/>
      <sheetData sheetId="2"/>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sheetName val="Orgs"/>
      <sheetName val="Departments"/>
      <sheetName val="Tables"/>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2)"/>
      <sheetName val="Sheet1"/>
      <sheetName val="Multiyear for projn"/>
      <sheetName val="parts 2,3"/>
      <sheetName val="fin aid"/>
      <sheetName val="waivers"/>
      <sheetName val="Multiyear"/>
      <sheetName val="Macro1"/>
      <sheetName val="Copy Multiyear for Ptable"/>
      <sheetName val="Ptable"/>
      <sheetName val="spring retention"/>
      <sheetName val="play with spring"/>
      <sheetName val="play with fall"/>
      <sheetName val="model comp sept"/>
      <sheetName val="tuit model recon sept"/>
      <sheetName val="oct act to disc lvl5"/>
      <sheetName val="oct rev bud to disc lvl5"/>
      <sheetName val="proj vs actual"/>
      <sheetName val="fy14 fin aid proj"/>
      <sheetName val="play with spring summary dave"/>
      <sheetName val="june cleanup entry"/>
      <sheetName val="Sheet1_(2)"/>
      <sheetName val="Multiyear_for_projn"/>
      <sheetName val="parts_2,3"/>
      <sheetName val="fin_aid"/>
      <sheetName val="Copy_Multiyear_for_Ptable"/>
      <sheetName val="spring_retention"/>
      <sheetName val="play_with_spring"/>
      <sheetName val="play_with_fall"/>
      <sheetName val="model_comp_sept"/>
      <sheetName val="tuit_model_recon_sept"/>
      <sheetName val="oct_act_to_disc_lvl5"/>
      <sheetName val="oct_rev_bud_to_disc_lvl5"/>
      <sheetName val="proj_vs_actual"/>
      <sheetName val="fy14_fin_aid_proj"/>
      <sheetName val="play_with_spring_summary_dave"/>
      <sheetName val="june_cleanup_ent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N- Capital lease"/>
      <sheetName val="PWC Housing Amortization Sch"/>
      <sheetName val="PWC Housing lease schedule"/>
      <sheetName val="Fd 09 TB PW Hsing 9 30 12"/>
      <sheetName val="PWC Lab Amortization Sch"/>
      <sheetName val="PWC Lab lease schedule"/>
      <sheetName val="Fd 10 TB PW Lab 9 30 12"/>
      <sheetName val="Fd 10 TB PW Lab 12 31 13"/>
      <sheetName val="Fd 10 TB PW Lab 3 31 15"/>
      <sheetName val="Detail of GL 108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ter LU"/>
      <sheetName val="451927 Sort by Building"/>
      <sheetName val="Project Plan by Build 1-31-18"/>
      <sheetName val="Project Detail 1-31-18"/>
      <sheetName val="FY19 Furn Costs"/>
      <sheetName val="PT Project Plan 1-31-18"/>
      <sheetName val="MGC &amp; BH Renewals Budgets"/>
      <sheetName val="Chart of Accounts"/>
      <sheetName val="Sort Build 4 MF 7-31-17"/>
      <sheetName val="HRL PO Invoice Status OL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ter LU"/>
      <sheetName val="451927 Sort by Building"/>
      <sheetName val="Proj Plan by Build 5-31-18"/>
      <sheetName val="Project Detail 5-31-18"/>
      <sheetName val="HRL TW Rehab Exp Est"/>
      <sheetName val="451927-74870 EN 5-23-18"/>
      <sheetName val="EP2766223 Blockhouse"/>
      <sheetName val="FY19 Furn Costs"/>
      <sheetName val="PT Project Plan 5-31-8"/>
      <sheetName val="MGC &amp; BH Renewals Budgets"/>
      <sheetName val="Follow-up Items EOY FY18"/>
      <sheetName val="Chart of Accounts"/>
      <sheetName val="Sort Build 4 MF 7-31-17"/>
      <sheetName val="HRL PO Invoice Status OLD"/>
      <sheetName val="HRL PROJECT PLAN  For Clean-Up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Prepaid Rent Analysis"/>
      <sheetName val="Open Invoices"/>
      <sheetName val="Mgmt Fee Calculation"/>
      <sheetName val="Contractors Report"/>
      <sheetName val="Insurance"/>
      <sheetName val="Distribution"/>
      <sheetName val="Prepaid_Rent_Analysis"/>
      <sheetName val="Open_Invoices"/>
      <sheetName val="Mgmt_Fee_Calculation"/>
      <sheetName val="Contractors_Repor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ter LU"/>
      <sheetName val="PT HRL Project Plan 6-30-17"/>
      <sheetName val="451927 Sort by Building"/>
      <sheetName val="451927 Sort by Build 6-15-17"/>
      <sheetName val="Project Report"/>
      <sheetName val="Sort Build 4 MF 7-31-17"/>
      <sheetName val="Leo HRL Project Plan 7-31-17"/>
      <sheetName val="-Ron HRL Project Plan 7-31-17"/>
      <sheetName val="Zac HRL Project Plan 7-31-17"/>
      <sheetName val="L Hutt HRL Project Plan 7-31-17"/>
      <sheetName val="PT EP Lookup Table"/>
      <sheetName val="HRL PO Invoice Status Report w "/>
      <sheetName val="HRL PO Invoice Status OLD"/>
      <sheetName val="Chart of Accou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Overview"/>
      <sheetName val="Application"/>
      <sheetName val="Instructions (Functional Axis)"/>
      <sheetName val="Functional Criterion Guidelines"/>
      <sheetName val="Functional Adequacy "/>
      <sheetName val="Instructions (Technical Axis)"/>
      <sheetName val="Tech Criterion Guidelines"/>
      <sheetName val="Business Process"/>
      <sheetName val="App. to Bus. Process Mapping"/>
      <sheetName val="Owners"/>
      <sheetName val="Technical Adequacy"/>
      <sheetName val="Tech Graph (Key Apps)"/>
      <sheetName val="Tech Graph (All Apps)"/>
      <sheetName val="Overall Adequacy"/>
      <sheetName val="Investment Priority "/>
      <sheetName val="Overall Adequacy Results"/>
      <sheetName val="Tech_Adequacy Results"/>
      <sheetName val="Adequacy Weightings"/>
      <sheetName val="Investment Priority (Process)"/>
      <sheetName val="D2 - Evaluation Data"/>
      <sheetName val="D3 - Evaluation Results SS"/>
      <sheetName val="Ownership"/>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sheetData sheetId="16"/>
      <sheetData sheetId="17"/>
      <sheetData sheetId="18" refreshError="1"/>
      <sheetData sheetId="19"/>
      <sheetData sheetId="20"/>
      <sheetData sheetId="2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quest Categories"/>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_Exp"/>
      <sheetName val="451907"/>
      <sheetName val="451908"/>
      <sheetName val="451910"/>
      <sheetName val="451911"/>
      <sheetName val="451913"/>
      <sheetName val="451916"/>
      <sheetName val="451919"/>
      <sheetName val="451925"/>
      <sheetName val="451926"/>
      <sheetName val="451927"/>
      <sheetName val="451928"/>
      <sheetName val="451929"/>
      <sheetName val="451930"/>
      <sheetName val="451931"/>
      <sheetName val="451933"/>
      <sheetName val="451934"/>
      <sheetName val="451935"/>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sheetName val="Departments"/>
      <sheetName val="Orgs"/>
      <sheetName val="Tabl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 GMU BUDGET BOOK 1-27"/>
      <sheetName val="FY 18 Pivot by GL"/>
      <sheetName val="Formatted table - 18 by GL"/>
      <sheetName val="Pivot copy FY 18 by GL"/>
      <sheetName val="Formatted table - 18 prog"/>
      <sheetName val="Pivot admin sup 18"/>
      <sheetName val="Pivot copy FY 18 GL - other exp"/>
      <sheetName val="Pivot copy FY 18"/>
      <sheetName val="Admin support 18"/>
      <sheetName val="ES 18"/>
      <sheetName val="Pivot FY 18"/>
      <sheetName val="Pivot FY 18 by GL "/>
      <sheetName val="Release FY 2018 w admin"/>
      <sheetName val="admin support GL detail 18"/>
      <sheetName val="Release FY 2018"/>
      <sheetName val="Division codes"/>
      <sheetName val="Purpose codes"/>
      <sheetName val="pivot 17 by GL"/>
      <sheetName val="Formatted table - 17 by GL"/>
      <sheetName val="admin supp"/>
      <sheetName val="es summary 17"/>
      <sheetName val="FY17 GL 7010"/>
      <sheetName val="Formatted table - 17 w es recla"/>
      <sheetName val="FOR BUDGET BOOK - 18 est"/>
      <sheetName val="mercatus"/>
      <sheetName val="FOR BUDGET BOOK - 17"/>
      <sheetName val="by GL code - to GMU  OSP"/>
      <sheetName val="Formatted table - 17"/>
      <sheetName val="pivot 17 copy"/>
      <sheetName val="SOFE by Fund (UR rest #1)"/>
      <sheetName val="Sheet1"/>
      <sheetName val="Sheet6"/>
      <sheetName val="Sheet7"/>
      <sheetName val="pivot 17"/>
      <sheetName val="release detail FY 17"/>
      <sheetName val="Project listing"/>
      <sheetName val="FOR BUDGET BOOK"/>
      <sheetName val="Formatted table - 16 w es recla"/>
      <sheetName val="pivot copy - FY 15"/>
      <sheetName val="pivot - FY 15"/>
      <sheetName val="release FY 2015"/>
      <sheetName val="es summary"/>
      <sheetName val="pivot copy 16"/>
      <sheetName val="Formatted table - 15"/>
      <sheetName val="eminent scholars 16"/>
      <sheetName val="Sheet2"/>
      <sheetName val="Sheet3"/>
      <sheetName val="Sheet4"/>
      <sheetName val="Sheet5"/>
      <sheetName val="pivot FY 16"/>
      <sheetName val="release FY 2016"/>
      <sheetName val="SOFE by proj by RES 16"/>
      <sheetName val="SOFE by proj by Fund 16"/>
      <sheetName val="purpose"/>
      <sheetName val="div"/>
      <sheetName val="dept2"/>
      <sheetName val="Project classifications FY15"/>
      <sheetName val="Eminent Scholars - 15"/>
      <sheetName val="es summary 15"/>
      <sheetName val="CHSS release"/>
      <sheetName val="PROG BENES - 15"/>
      <sheetName val="sofe by project - 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sheetName val="Orgs"/>
      <sheetName val="Departments"/>
      <sheetName val="Tables"/>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dow Bal (2)"/>
      <sheetName val="Endow Bal"/>
      <sheetName val="06302013"/>
      <sheetName val="New accounts - 6302013"/>
      <sheetName val="09302012"/>
      <sheetName val="12312012"/>
      <sheetName val="03312013"/>
      <sheetName val="06302012"/>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61 - 5 Year Pledge Table"/>
      <sheetName val="1061 - Rollforward of balances"/>
      <sheetName val="1061 - Pmts thru 8_8"/>
      <sheetName val="1062 - Summary of Discounts"/>
      <sheetName val="1062 - Rates for FY12 Pledges"/>
      <sheetName val="1062 - Rationale for Rate Used"/>
      <sheetName val="Detail of 4050"/>
      <sheetName val="Detail of 1061"/>
      <sheetName val="Detail of 8801"/>
      <sheetName val="1061_-_5_Year_Pledge_Table"/>
      <sheetName val="1061_-_Rollforward_of_balances"/>
      <sheetName val="1061_-_Pmts_thru_8_8"/>
      <sheetName val="1062_-_Summary_of_Discounts"/>
      <sheetName val="1062_-_Rates_for_FY12_Pledges"/>
      <sheetName val="1062_-_Rationale_for_Rate_Used"/>
      <sheetName val="Detail_of_4050"/>
      <sheetName val="Detail_of_1061"/>
      <sheetName val="Detail_of_88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nts"/>
      <sheetName val="Recoveries"/>
      <sheetName val="FRC"/>
      <sheetName val="Other Non-Oper Exp Sch"/>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dicken2@gmu.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74FC6-DF36-4F50-83ED-05BEC84F4DCB}">
  <dimension ref="A1:R67"/>
  <sheetViews>
    <sheetView zoomScale="75" zoomScaleNormal="75" workbookViewId="0">
      <selection activeCell="A3" sqref="A3:H3"/>
    </sheetView>
  </sheetViews>
  <sheetFormatPr defaultColWidth="164.42578125" defaultRowHeight="14.45"/>
  <cols>
    <col min="1" max="1" width="170.5703125" customWidth="1"/>
  </cols>
  <sheetData>
    <row r="1" spans="1:1" ht="21" customHeight="1">
      <c r="A1" s="1" t="s">
        <v>0</v>
      </c>
    </row>
    <row r="2" spans="1:1" ht="21" customHeight="1">
      <c r="A2" s="1" t="s">
        <v>1</v>
      </c>
    </row>
    <row r="3" spans="1:1" ht="21" customHeight="1">
      <c r="A3" s="2" t="s">
        <v>2</v>
      </c>
    </row>
    <row r="4" spans="1:1" ht="16.350000000000001" customHeight="1">
      <c r="A4" s="3"/>
    </row>
    <row r="5" spans="1:1" ht="21" customHeight="1">
      <c r="A5" s="4" t="s">
        <v>3</v>
      </c>
    </row>
    <row r="6" spans="1:1" s="6" customFormat="1" ht="75" customHeight="1">
      <c r="A6" s="5" t="s">
        <v>4</v>
      </c>
    </row>
    <row r="7" spans="1:1" s="7" customFormat="1" ht="21" customHeight="1">
      <c r="A7" s="4" t="s">
        <v>5</v>
      </c>
    </row>
    <row r="8" spans="1:1" s="6" customFormat="1" ht="69.599999999999994" customHeight="1">
      <c r="A8" s="8" t="s">
        <v>6</v>
      </c>
    </row>
    <row r="9" spans="1:1" s="6" customFormat="1" ht="54.6" customHeight="1" thickBot="1">
      <c r="A9" s="9" t="s">
        <v>7</v>
      </c>
    </row>
    <row r="10" spans="1:1" s="6" customFormat="1" ht="33" customHeight="1" thickBot="1">
      <c r="A10" s="10" t="s">
        <v>8</v>
      </c>
    </row>
    <row r="11" spans="1:1" s="6" customFormat="1" ht="23.45" customHeight="1">
      <c r="A11" s="11" t="s">
        <v>9</v>
      </c>
    </row>
    <row r="12" spans="1:1" s="6" customFormat="1" ht="57" customHeight="1">
      <c r="A12" s="12" t="s">
        <v>10</v>
      </c>
    </row>
    <row r="13" spans="1:1" s="13" customFormat="1" ht="21" customHeight="1">
      <c r="A13" s="11" t="s">
        <v>11</v>
      </c>
    </row>
    <row r="14" spans="1:1" s="13" customFormat="1" ht="73.5" customHeight="1">
      <c r="A14" s="5" t="s">
        <v>12</v>
      </c>
    </row>
    <row r="15" spans="1:1" s="13" customFormat="1" ht="50.1" customHeight="1">
      <c r="A15" s="5" t="s">
        <v>13</v>
      </c>
    </row>
    <row r="16" spans="1:1" s="15" customFormat="1" ht="21" customHeight="1">
      <c r="A16" s="14" t="s">
        <v>14</v>
      </c>
    </row>
    <row r="17" spans="1:18" s="13" customFormat="1" ht="100.5" customHeight="1">
      <c r="A17" s="5" t="s">
        <v>15</v>
      </c>
    </row>
    <row r="18" spans="1:18" s="13" customFormat="1" ht="21" customHeight="1">
      <c r="A18" s="11" t="s">
        <v>16</v>
      </c>
    </row>
    <row r="19" spans="1:18" s="13" customFormat="1" ht="353.25" customHeight="1">
      <c r="A19" s="16" t="s">
        <v>17</v>
      </c>
      <c r="B19" s="17"/>
      <c r="C19" s="17"/>
      <c r="D19" s="17"/>
      <c r="E19" s="17"/>
      <c r="F19" s="17"/>
      <c r="G19" s="17"/>
      <c r="H19" s="17"/>
      <c r="I19" s="17"/>
      <c r="J19" s="17"/>
      <c r="K19" s="17"/>
      <c r="L19" s="17"/>
      <c r="M19" s="17"/>
      <c r="N19" s="17"/>
      <c r="O19" s="17"/>
    </row>
    <row r="20" spans="1:18" s="13" customFormat="1" ht="186">
      <c r="A20" s="18" t="s">
        <v>18</v>
      </c>
      <c r="B20" s="17"/>
      <c r="C20" s="17"/>
      <c r="D20" s="17"/>
      <c r="E20" s="17"/>
      <c r="F20" s="17"/>
      <c r="G20" s="17"/>
      <c r="H20" s="17"/>
      <c r="I20" s="17"/>
      <c r="J20" s="17"/>
      <c r="K20" s="17"/>
      <c r="L20" s="17"/>
      <c r="M20" s="17"/>
      <c r="N20" s="17"/>
      <c r="O20" s="17"/>
    </row>
    <row r="21" spans="1:18" s="6" customFormat="1" ht="37.5" customHeight="1">
      <c r="A21" s="19" t="s">
        <v>19</v>
      </c>
    </row>
    <row r="22" spans="1:18" s="6" customFormat="1" ht="33.6" customHeight="1">
      <c r="A22" s="20" t="s">
        <v>20</v>
      </c>
    </row>
    <row r="23" spans="1:18" s="6" customFormat="1" ht="21" customHeight="1">
      <c r="A23" s="21" t="s">
        <v>21</v>
      </c>
    </row>
    <row r="24" spans="1:18" s="6" customFormat="1" ht="21" customHeight="1">
      <c r="A24" s="21" t="s">
        <v>22</v>
      </c>
    </row>
    <row r="25" spans="1:18" s="6" customFormat="1" ht="21" customHeight="1">
      <c r="A25" s="22" t="s">
        <v>23</v>
      </c>
    </row>
    <row r="26" spans="1:18" s="15" customFormat="1" ht="21" customHeight="1" thickBot="1">
      <c r="A26" s="11" t="s">
        <v>24</v>
      </c>
      <c r="B26" s="23"/>
      <c r="C26" s="23"/>
      <c r="D26" s="23"/>
      <c r="E26" s="23"/>
      <c r="F26" s="23"/>
      <c r="G26" s="23"/>
      <c r="H26" s="23"/>
    </row>
    <row r="27" spans="1:18" s="6" customFormat="1" ht="145.5" customHeight="1">
      <c r="A27" s="24" t="s">
        <v>25</v>
      </c>
      <c r="B27" s="25"/>
      <c r="C27" s="25"/>
      <c r="D27" s="25"/>
      <c r="E27" s="25"/>
      <c r="F27" s="25"/>
      <c r="G27" s="25"/>
      <c r="H27" s="25"/>
      <c r="I27" s="25"/>
      <c r="J27" s="25"/>
      <c r="K27" s="25"/>
      <c r="L27" s="25"/>
      <c r="M27" s="25"/>
      <c r="N27" s="25"/>
      <c r="O27" s="25"/>
      <c r="P27" s="25"/>
      <c r="Q27" s="25"/>
      <c r="R27" s="25"/>
    </row>
    <row r="28" spans="1:18" s="6" customFormat="1" ht="21" customHeight="1">
      <c r="A28" s="11" t="s">
        <v>26</v>
      </c>
    </row>
    <row r="29" spans="1:18" s="6" customFormat="1" ht="147.75" customHeight="1">
      <c r="A29" s="26" t="s">
        <v>27</v>
      </c>
      <c r="B29" s="25"/>
      <c r="C29" s="25"/>
      <c r="D29" s="25"/>
      <c r="E29" s="25"/>
      <c r="F29" s="25"/>
      <c r="G29" s="25"/>
      <c r="H29" s="25"/>
    </row>
    <row r="30" spans="1:18" s="6" customFormat="1" ht="38.450000000000003" customHeight="1">
      <c r="A30" s="12" t="s">
        <v>28</v>
      </c>
    </row>
    <row r="31" spans="1:18" s="6" customFormat="1" ht="69" customHeight="1">
      <c r="A31" s="12" t="s">
        <v>29</v>
      </c>
    </row>
    <row r="32" spans="1:18" s="13" customFormat="1" ht="51.6" customHeight="1">
      <c r="A32" s="5" t="s">
        <v>30</v>
      </c>
    </row>
    <row r="33" spans="1:1" s="13" customFormat="1" ht="21" customHeight="1">
      <c r="A33" s="354" t="s">
        <v>31</v>
      </c>
    </row>
    <row r="34" spans="1:1" ht="21" customHeight="1">
      <c r="A34" s="355" t="s">
        <v>32</v>
      </c>
    </row>
    <row r="35" spans="1:1" ht="21" customHeight="1">
      <c r="A35" s="355" t="s">
        <v>33</v>
      </c>
    </row>
    <row r="36" spans="1:1" s="6" customFormat="1" ht="21" customHeight="1">
      <c r="A36" s="355" t="s">
        <v>34</v>
      </c>
    </row>
    <row r="37" spans="1:1" s="6" customFormat="1" ht="21" customHeight="1">
      <c r="A37" s="355" t="s">
        <v>35</v>
      </c>
    </row>
    <row r="38" spans="1:1" s="6" customFormat="1" ht="21" customHeight="1">
      <c r="A38" s="355" t="s">
        <v>36</v>
      </c>
    </row>
    <row r="39" spans="1:1" s="6" customFormat="1" ht="21" customHeight="1">
      <c r="A39" s="11" t="s">
        <v>37</v>
      </c>
    </row>
    <row r="40" spans="1:1" s="13" customFormat="1" ht="21" customHeight="1">
      <c r="A40" s="27" t="s">
        <v>38</v>
      </c>
    </row>
    <row r="41" spans="1:1" s="29" customFormat="1" ht="145.35" customHeight="1">
      <c r="A41" s="28" t="s">
        <v>39</v>
      </c>
    </row>
    <row r="42" spans="1:1" s="29" customFormat="1" ht="57.6" customHeight="1">
      <c r="A42" s="28" t="s">
        <v>40</v>
      </c>
    </row>
    <row r="43" spans="1:1" s="29" customFormat="1" ht="64.349999999999994" customHeight="1">
      <c r="A43" s="28" t="s">
        <v>41</v>
      </c>
    </row>
    <row r="44" spans="1:1" s="29" customFormat="1" ht="77.099999999999994" customHeight="1">
      <c r="A44" s="28" t="s">
        <v>42</v>
      </c>
    </row>
    <row r="45" spans="1:1" s="29" customFormat="1" ht="28.35" customHeight="1">
      <c r="A45" s="28" t="s">
        <v>43</v>
      </c>
    </row>
    <row r="46" spans="1:1" s="29" customFormat="1" ht="26.1" customHeight="1">
      <c r="A46" s="30" t="s">
        <v>44</v>
      </c>
    </row>
    <row r="47" spans="1:1" s="29" customFormat="1" ht="36" customHeight="1">
      <c r="A47" s="28" t="s">
        <v>45</v>
      </c>
    </row>
    <row r="48" spans="1:1" s="29" customFormat="1" ht="20.25" customHeight="1">
      <c r="A48" s="28" t="s">
        <v>46</v>
      </c>
    </row>
    <row r="49" spans="1:1" s="29" customFormat="1" ht="21.6" customHeight="1">
      <c r="A49" s="28" t="s">
        <v>47</v>
      </c>
    </row>
    <row r="50" spans="1:1" s="29" customFormat="1" ht="24.6" customHeight="1">
      <c r="A50" s="30" t="s">
        <v>48</v>
      </c>
    </row>
    <row r="51" spans="1:1" s="29" customFormat="1" ht="17.45" customHeight="1">
      <c r="A51" s="30" t="s">
        <v>49</v>
      </c>
    </row>
    <row r="52" spans="1:1" s="29" customFormat="1" ht="35.1" customHeight="1">
      <c r="A52" s="30" t="s">
        <v>50</v>
      </c>
    </row>
    <row r="53" spans="1:1" s="29" customFormat="1" ht="57" customHeight="1">
      <c r="A53" s="30" t="s">
        <v>51</v>
      </c>
    </row>
    <row r="54" spans="1:1" s="29" customFormat="1" ht="62.1" customHeight="1">
      <c r="A54" s="30" t="s">
        <v>52</v>
      </c>
    </row>
    <row r="55" spans="1:1" s="29" customFormat="1" ht="107.1" customHeight="1">
      <c r="A55" s="30" t="s">
        <v>53</v>
      </c>
    </row>
    <row r="56" spans="1:1" s="29" customFormat="1" ht="63" customHeight="1">
      <c r="A56" s="30" t="s">
        <v>54</v>
      </c>
    </row>
    <row r="57" spans="1:1" s="29" customFormat="1" ht="24" customHeight="1">
      <c r="A57" s="30" t="s">
        <v>55</v>
      </c>
    </row>
    <row r="58" spans="1:1" s="29" customFormat="1" ht="23.1" customHeight="1">
      <c r="A58" s="30" t="s">
        <v>56</v>
      </c>
    </row>
    <row r="59" spans="1:1" s="6" customFormat="1" ht="87">
      <c r="A59" s="30" t="s">
        <v>57</v>
      </c>
    </row>
    <row r="60" spans="1:1" s="6" customFormat="1" ht="51.6" customHeight="1">
      <c r="A60" s="30" t="s">
        <v>58</v>
      </c>
    </row>
    <row r="61" spans="1:1" s="6" customFormat="1" ht="89.45" customHeight="1">
      <c r="A61" s="30" t="s">
        <v>59</v>
      </c>
    </row>
    <row r="62" spans="1:1" s="6" customFormat="1" ht="32.450000000000003" customHeight="1">
      <c r="A62" s="30" t="s">
        <v>60</v>
      </c>
    </row>
    <row r="63" spans="1:1" ht="15.6" hidden="1">
      <c r="A63" s="31"/>
    </row>
    <row r="64" spans="1:1" ht="15.6" hidden="1">
      <c r="A64" s="31"/>
    </row>
    <row r="65" spans="1:1" ht="15.6" hidden="1">
      <c r="A65" s="31"/>
    </row>
    <row r="66" spans="1:1" s="32" customFormat="1" ht="15.6"/>
    <row r="67" spans="1:1" ht="15.6">
      <c r="A67" s="3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BC5F4-4A33-4618-995D-083E5B4DC1E5}">
  <sheetPr>
    <pageSetUpPr fitToPage="1"/>
  </sheetPr>
  <dimension ref="A1:S8"/>
  <sheetViews>
    <sheetView zoomScaleNormal="100" workbookViewId="0">
      <selection activeCell="A3" sqref="A3:S3"/>
    </sheetView>
  </sheetViews>
  <sheetFormatPr defaultColWidth="8.5703125" defaultRowHeight="12.6"/>
  <cols>
    <col min="1" max="4" width="8.5703125" style="37"/>
    <col min="5" max="5" width="17.42578125" style="37" customWidth="1"/>
    <col min="6" max="16384" width="8.5703125" style="37"/>
  </cols>
  <sheetData>
    <row r="1" spans="1:19" s="34" customFormat="1" ht="30" customHeight="1">
      <c r="A1" s="384" t="s">
        <v>61</v>
      </c>
      <c r="B1" s="384"/>
      <c r="C1" s="384"/>
      <c r="D1" s="384"/>
      <c r="E1" s="384"/>
      <c r="F1" s="384"/>
      <c r="G1" s="384"/>
      <c r="H1" s="384"/>
      <c r="I1" s="384"/>
      <c r="J1" s="384"/>
      <c r="K1" s="384"/>
      <c r="L1" s="384"/>
      <c r="M1" s="384"/>
      <c r="N1" s="384"/>
      <c r="O1" s="384"/>
      <c r="P1" s="384"/>
      <c r="Q1" s="384"/>
    </row>
    <row r="2" spans="1:19" s="34" customFormat="1" ht="30" customHeight="1" thickBot="1">
      <c r="A2" s="385" t="s">
        <v>62</v>
      </c>
      <c r="B2" s="385"/>
      <c r="C2" s="385"/>
      <c r="D2" s="385"/>
      <c r="E2" s="385"/>
      <c r="F2" s="35"/>
      <c r="G2" s="35"/>
      <c r="H2" s="35"/>
      <c r="I2" s="35"/>
      <c r="J2" s="35"/>
      <c r="K2" s="35"/>
      <c r="L2" s="35"/>
      <c r="M2" s="35"/>
      <c r="N2" s="35"/>
      <c r="O2" s="35"/>
      <c r="P2" s="35"/>
    </row>
    <row r="3" spans="1:19" s="34" customFormat="1" ht="30" customHeight="1" thickBot="1">
      <c r="A3" s="386" t="s">
        <v>63</v>
      </c>
      <c r="B3" s="386"/>
      <c r="C3" s="387" t="s">
        <v>64</v>
      </c>
      <c r="D3" s="388"/>
      <c r="E3" s="388"/>
      <c r="F3" s="388"/>
      <c r="G3" s="388"/>
      <c r="H3" s="388"/>
      <c r="I3" s="388"/>
      <c r="J3" s="388"/>
      <c r="K3" s="388"/>
      <c r="L3" s="388"/>
      <c r="M3" s="388"/>
      <c r="N3" s="388"/>
      <c r="O3" s="388"/>
      <c r="P3" s="388"/>
      <c r="Q3" s="388"/>
      <c r="R3" s="388"/>
      <c r="S3" s="389"/>
    </row>
    <row r="4" spans="1:19" s="34" customFormat="1" ht="30" customHeight="1" thickBot="1">
      <c r="A4" s="386" t="s">
        <v>65</v>
      </c>
      <c r="B4" s="386"/>
      <c r="C4" s="386"/>
      <c r="D4" s="390"/>
      <c r="E4" s="391" t="s">
        <v>66</v>
      </c>
      <c r="F4" s="392"/>
      <c r="G4" s="392"/>
      <c r="H4" s="393"/>
      <c r="I4" s="36"/>
      <c r="J4" s="36"/>
      <c r="K4" s="36"/>
      <c r="L4" s="36"/>
      <c r="M4" s="36"/>
      <c r="N4" s="36"/>
      <c r="O4" s="36"/>
      <c r="P4" s="36"/>
      <c r="Q4" s="36"/>
      <c r="R4" s="36"/>
      <c r="S4" s="36"/>
    </row>
    <row r="5" spans="1:19" s="34" customFormat="1" ht="30" customHeight="1" thickBot="1">
      <c r="A5" s="386" t="s">
        <v>67</v>
      </c>
      <c r="B5" s="386"/>
      <c r="C5" s="386"/>
      <c r="D5" s="386"/>
      <c r="E5" s="386"/>
      <c r="F5" s="386"/>
      <c r="G5" s="386"/>
      <c r="H5" s="36"/>
      <c r="I5" s="36"/>
      <c r="J5" s="36"/>
      <c r="K5" s="36"/>
      <c r="L5" s="36"/>
      <c r="M5" s="36"/>
      <c r="N5" s="36"/>
      <c r="O5" s="36"/>
      <c r="P5" s="36"/>
      <c r="Q5" s="36"/>
      <c r="R5" s="36"/>
      <c r="S5" s="36"/>
    </row>
    <row r="6" spans="1:19" s="34" customFormat="1" ht="46.35" customHeight="1" thickBot="1">
      <c r="A6" s="380" t="s">
        <v>68</v>
      </c>
      <c r="B6" s="380"/>
      <c r="C6" s="380"/>
      <c r="D6" s="380"/>
      <c r="E6" s="380"/>
      <c r="F6" s="380"/>
      <c r="G6" s="380"/>
      <c r="H6" s="394" t="s">
        <v>69</v>
      </c>
      <c r="I6" s="395"/>
      <c r="J6" s="395"/>
      <c r="K6" s="395"/>
      <c r="L6" s="395"/>
      <c r="M6" s="395"/>
      <c r="N6" s="395"/>
      <c r="O6" s="395"/>
      <c r="P6" s="395"/>
      <c r="Q6" s="396"/>
      <c r="R6" s="36"/>
      <c r="S6" s="36"/>
    </row>
    <row r="7" spans="1:19" s="34" customFormat="1" ht="30" customHeight="1" thickBot="1">
      <c r="A7" s="380" t="s">
        <v>70</v>
      </c>
      <c r="B7" s="380"/>
      <c r="C7" s="380"/>
      <c r="D7" s="380"/>
      <c r="E7" s="380"/>
      <c r="F7" s="380"/>
      <c r="G7" s="380"/>
      <c r="H7" s="397" t="s">
        <v>71</v>
      </c>
      <c r="I7" s="382"/>
      <c r="J7" s="382"/>
      <c r="K7" s="382"/>
      <c r="L7" s="382"/>
      <c r="M7" s="382"/>
      <c r="N7" s="382"/>
      <c r="O7" s="382"/>
      <c r="P7" s="382"/>
      <c r="Q7" s="383"/>
      <c r="R7" s="36"/>
      <c r="S7" s="36"/>
    </row>
    <row r="8" spans="1:19" s="34" customFormat="1" ht="30" customHeight="1" thickBot="1">
      <c r="A8" s="380" t="s">
        <v>72</v>
      </c>
      <c r="B8" s="380"/>
      <c r="C8" s="380"/>
      <c r="D8" s="380"/>
      <c r="E8" s="380"/>
      <c r="F8" s="380"/>
      <c r="G8" s="380"/>
      <c r="H8" s="381" t="s">
        <v>73</v>
      </c>
      <c r="I8" s="382"/>
      <c r="J8" s="382"/>
      <c r="K8" s="382"/>
      <c r="L8" s="382"/>
      <c r="M8" s="382"/>
      <c r="N8" s="382"/>
      <c r="O8" s="382"/>
      <c r="P8" s="382"/>
      <c r="Q8" s="383"/>
      <c r="R8" s="36"/>
      <c r="S8" s="36"/>
    </row>
  </sheetData>
  <mergeCells count="13">
    <mergeCell ref="A8:G8"/>
    <mergeCell ref="H8:Q8"/>
    <mergeCell ref="A1:Q1"/>
    <mergeCell ref="A2:E2"/>
    <mergeCell ref="A3:B3"/>
    <mergeCell ref="C3:S3"/>
    <mergeCell ref="A4:D4"/>
    <mergeCell ref="E4:H4"/>
    <mergeCell ref="A5:G5"/>
    <mergeCell ref="A6:G6"/>
    <mergeCell ref="H6:Q6"/>
    <mergeCell ref="A7:G7"/>
    <mergeCell ref="H7:Q7"/>
  </mergeCells>
  <hyperlinks>
    <hyperlink ref="H7" r:id="rId1" xr:uid="{AA13545C-6746-4BC3-BBBF-0C4330837E94}"/>
  </hyperlinks>
  <pageMargins left="0.7" right="0.7" top="0.75" bottom="0.75" header="0.3" footer="0.3"/>
  <pageSetup scale="53" orientation="portrait" horizontalDpi="1200" verticalDpi="1200" r:id="rId2"/>
  <headerFooter>
    <oddFooter>&amp;L2017 Six-Year Plan - Institution ID&amp;C&amp;P of &amp;N&amp;RSCHEV - 5/23/17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1090B-C671-4D57-9FC3-0E1E1B2830DC}">
  <dimension ref="A1:F19"/>
  <sheetViews>
    <sheetView zoomScale="80" zoomScaleNormal="80" workbookViewId="0">
      <selection activeCell="A3" sqref="A3:H3"/>
    </sheetView>
  </sheetViews>
  <sheetFormatPr defaultColWidth="8.85546875" defaultRowHeight="12.6"/>
  <cols>
    <col min="1" max="1" width="54.42578125" style="37" customWidth="1"/>
    <col min="2" max="6" width="20.5703125" style="37" customWidth="1"/>
    <col min="7" max="16384" width="8.85546875" style="37"/>
  </cols>
  <sheetData>
    <row r="1" spans="1:6" ht="23.1">
      <c r="A1" s="38" t="s">
        <v>74</v>
      </c>
      <c r="B1" s="39"/>
      <c r="C1" s="39"/>
      <c r="D1" s="39"/>
      <c r="E1" s="39"/>
      <c r="F1" s="40"/>
    </row>
    <row r="2" spans="1:6" ht="22.5" customHeight="1">
      <c r="A2" s="41" t="str">
        <f>'Institution ID'!C3</f>
        <v>George Mason University</v>
      </c>
      <c r="B2" s="41"/>
      <c r="C2" s="41"/>
      <c r="D2" s="41"/>
      <c r="E2" s="41"/>
      <c r="F2" s="40"/>
    </row>
    <row r="3" spans="1:6" ht="15.6">
      <c r="A3" s="42"/>
      <c r="B3" s="42"/>
      <c r="C3" s="42"/>
      <c r="D3" s="42"/>
      <c r="E3" s="42"/>
      <c r="F3" s="40"/>
    </row>
    <row r="4" spans="1:6" ht="85.5" customHeight="1">
      <c r="A4" s="398" t="s">
        <v>75</v>
      </c>
      <c r="B4" s="399"/>
      <c r="C4" s="399"/>
      <c r="D4" s="399"/>
      <c r="E4" s="399"/>
      <c r="F4" s="399"/>
    </row>
    <row r="5" spans="1:6" ht="15.6">
      <c r="A5" s="40"/>
      <c r="B5" s="43"/>
      <c r="C5" s="43"/>
      <c r="D5" s="43"/>
      <c r="E5" s="43"/>
      <c r="F5" s="43"/>
    </row>
    <row r="6" spans="1:6" ht="18">
      <c r="A6" s="40"/>
      <c r="B6" s="400" t="s">
        <v>76</v>
      </c>
      <c r="C6" s="401"/>
      <c r="D6" s="401"/>
      <c r="E6" s="401"/>
      <c r="F6" s="402"/>
    </row>
    <row r="7" spans="1:6" ht="15.6">
      <c r="B7" s="44" t="s">
        <v>77</v>
      </c>
      <c r="C7" s="403" t="s">
        <v>78</v>
      </c>
      <c r="D7" s="404"/>
      <c r="E7" s="404" t="s">
        <v>79</v>
      </c>
      <c r="F7" s="405"/>
    </row>
    <row r="8" spans="1:6" ht="30.95">
      <c r="B8" s="45" t="s">
        <v>80</v>
      </c>
      <c r="C8" s="46" t="s">
        <v>81</v>
      </c>
      <c r="D8" s="47" t="s">
        <v>82</v>
      </c>
      <c r="E8" s="46" t="s">
        <v>81</v>
      </c>
      <c r="F8" s="47" t="s">
        <v>82</v>
      </c>
    </row>
    <row r="9" spans="1:6" ht="15.6">
      <c r="A9" s="48" t="s">
        <v>83</v>
      </c>
      <c r="B9" s="49">
        <v>10095</v>
      </c>
      <c r="C9" s="50">
        <f>ROUND(B9*1.05,0)</f>
        <v>10600</v>
      </c>
      <c r="D9" s="51">
        <f>IF(C9=0,"%",C9/B9-1)</f>
        <v>5.002476473501738E-2</v>
      </c>
      <c r="E9" s="50">
        <f>ROUND(C9*1.05,0)</f>
        <v>11130</v>
      </c>
      <c r="F9" s="51">
        <f>IF(E9=0,"%",E9/C9-1)</f>
        <v>5.0000000000000044E-2</v>
      </c>
    </row>
    <row r="10" spans="1:6" ht="15.6">
      <c r="A10" s="52" t="s">
        <v>84</v>
      </c>
      <c r="B10" s="53"/>
      <c r="C10" s="50"/>
      <c r="D10" s="54" t="str">
        <f t="shared" ref="D10:D16" si="0">IF(C10=0,"%",C10/B10-1)</f>
        <v>%</v>
      </c>
      <c r="E10" s="50"/>
      <c r="F10" s="54" t="str">
        <f t="shared" ref="F10:F15" si="1">IF(E10=0,"%",E10/C10-1)</f>
        <v>%</v>
      </c>
    </row>
    <row r="11" spans="1:6" ht="15.6">
      <c r="A11" s="55" t="s">
        <v>85</v>
      </c>
      <c r="B11" s="56">
        <v>3720</v>
      </c>
      <c r="C11" s="57">
        <f>ROUND(B11*1.05,0)</f>
        <v>3906</v>
      </c>
      <c r="D11" s="58">
        <f t="shared" si="0"/>
        <v>5.0000000000000044E-2</v>
      </c>
      <c r="E11" s="57">
        <f>ROUND(C11*1.07,0)</f>
        <v>4179</v>
      </c>
      <c r="F11" s="58">
        <f t="shared" si="1"/>
        <v>6.9892473118279508E-2</v>
      </c>
    </row>
    <row r="12" spans="1:6" ht="15.6">
      <c r="A12" s="59" t="s">
        <v>86</v>
      </c>
      <c r="B12" s="60">
        <f>SUM(B9:B11)</f>
        <v>13815</v>
      </c>
      <c r="C12" s="61">
        <f>SUM(C9:C11)</f>
        <v>14506</v>
      </c>
      <c r="D12" s="58">
        <f t="shared" si="0"/>
        <v>5.0018096272167911E-2</v>
      </c>
      <c r="E12" s="62">
        <f>SUM(E9:E11)</f>
        <v>15309</v>
      </c>
      <c r="F12" s="58">
        <f>IF(E12=0,"%",E12/C12-1)</f>
        <v>5.5356404246518665E-2</v>
      </c>
    </row>
    <row r="13" spans="1:6" ht="15.6">
      <c r="A13" s="52" t="s">
        <v>87</v>
      </c>
      <c r="B13" s="49">
        <v>34259</v>
      </c>
      <c r="C13" s="63">
        <f>ROUND(B13*1.05,0)</f>
        <v>35972</v>
      </c>
      <c r="D13" s="54">
        <f t="shared" si="0"/>
        <v>5.000145947050405E-2</v>
      </c>
      <c r="E13" s="63">
        <f>ROUND(C13*1.05,0)</f>
        <v>37771</v>
      </c>
      <c r="F13" s="54">
        <f t="shared" si="1"/>
        <v>5.0011119759813205E-2</v>
      </c>
    </row>
    <row r="14" spans="1:6" ht="15.6">
      <c r="A14" s="52" t="s">
        <v>88</v>
      </c>
      <c r="B14" s="53"/>
      <c r="C14" s="50"/>
      <c r="D14" s="54" t="str">
        <f t="shared" si="0"/>
        <v>%</v>
      </c>
      <c r="E14" s="50"/>
      <c r="F14" s="54" t="str">
        <f t="shared" si="1"/>
        <v>%</v>
      </c>
    </row>
    <row r="15" spans="1:6" ht="15.6">
      <c r="A15" s="55" t="s">
        <v>89</v>
      </c>
      <c r="B15" s="56">
        <v>3720</v>
      </c>
      <c r="C15" s="57">
        <f>ROUND(B15*1.05,0)</f>
        <v>3906</v>
      </c>
      <c r="D15" s="58">
        <f t="shared" si="0"/>
        <v>5.0000000000000044E-2</v>
      </c>
      <c r="E15" s="57">
        <f>ROUND(C15*1.07,0)</f>
        <v>4179</v>
      </c>
      <c r="F15" s="58">
        <f t="shared" si="1"/>
        <v>6.9892473118279508E-2</v>
      </c>
    </row>
    <row r="16" spans="1:6" ht="15.6">
      <c r="A16" s="59" t="s">
        <v>90</v>
      </c>
      <c r="B16" s="60">
        <f>SUM(B13:B15)</f>
        <v>37979</v>
      </c>
      <c r="C16" s="61">
        <f>SUM(C13:C15)</f>
        <v>39878</v>
      </c>
      <c r="D16" s="58">
        <f t="shared" si="0"/>
        <v>5.0001316517022554E-2</v>
      </c>
      <c r="E16" s="61">
        <f>SUM(E13:E15)</f>
        <v>41950</v>
      </c>
      <c r="F16" s="58">
        <f>IF(E16=0,"%",E16/C16-1)</f>
        <v>5.1958473343698186E-2</v>
      </c>
    </row>
    <row r="19" spans="1:1" ht="15.6">
      <c r="A19" s="64"/>
    </row>
  </sheetData>
  <mergeCells count="4">
    <mergeCell ref="A4:F4"/>
    <mergeCell ref="B6:F6"/>
    <mergeCell ref="C7:D7"/>
    <mergeCell ref="E7:F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04CAC-F67E-4A42-B359-DF5605B336D6}">
  <sheetPr>
    <pageSetUpPr fitToPage="1"/>
  </sheetPr>
  <dimension ref="A1:R41"/>
  <sheetViews>
    <sheetView zoomScale="80" zoomScaleNormal="80" zoomScalePageLayoutView="150" workbookViewId="0">
      <pane xSplit="1" ySplit="5" topLeftCell="B23" activePane="bottomRight" state="frozen"/>
      <selection pane="bottomRight" activeCell="A3" sqref="A3:H3"/>
      <selection pane="bottomLeft" activeCell="A3" sqref="A3:H3"/>
      <selection pane="topRight" activeCell="A3" sqref="A3:H3"/>
    </sheetView>
  </sheetViews>
  <sheetFormatPr defaultColWidth="8.5703125" defaultRowHeight="14.45"/>
  <cols>
    <col min="1" max="1" width="45.5703125" style="37" customWidth="1"/>
    <col min="2" max="2" width="19.140625" style="37" bestFit="1" customWidth="1"/>
    <col min="3" max="3" width="20.5703125" style="37" customWidth="1"/>
    <col min="4" max="4" width="7.42578125" style="100" bestFit="1" customWidth="1"/>
    <col min="5" max="5" width="20.5703125" style="37" customWidth="1"/>
    <col min="6" max="6" width="7.42578125" style="100" customWidth="1"/>
    <col min="7" max="7" width="20.5703125" style="37" customWidth="1"/>
    <col min="8" max="8" width="7.42578125" style="100" customWidth="1"/>
    <col min="9" max="9" width="23.140625" style="37" bestFit="1" customWidth="1"/>
    <col min="10" max="10" width="7.42578125" style="100" customWidth="1"/>
    <col min="11" max="11" width="23.140625" style="37" bestFit="1" customWidth="1"/>
    <col min="12" max="12" width="7.42578125" style="100" customWidth="1"/>
    <col min="13" max="13" width="23.140625" style="37" bestFit="1" customWidth="1"/>
    <col min="14" max="14" width="7.42578125" style="100" customWidth="1"/>
    <col min="15" max="15" width="23.140625" style="37" bestFit="1" customWidth="1"/>
    <col min="16" max="16" width="7.42578125" style="100" customWidth="1"/>
    <col min="17" max="17" width="15.140625" style="37" bestFit="1" customWidth="1"/>
    <col min="18" max="16384" width="8.5703125" style="37"/>
  </cols>
  <sheetData>
    <row r="1" spans="1:18" ht="20.100000000000001" customHeight="1">
      <c r="A1" s="65" t="s">
        <v>91</v>
      </c>
      <c r="B1" s="65"/>
      <c r="C1" s="65"/>
      <c r="D1" s="66"/>
      <c r="E1" s="65"/>
      <c r="F1" s="66"/>
      <c r="G1" s="65"/>
      <c r="H1" s="66"/>
      <c r="J1" s="66"/>
      <c r="L1" s="66"/>
      <c r="N1" s="66"/>
      <c r="P1" s="66"/>
    </row>
    <row r="2" spans="1:18" ht="20.100000000000001" customHeight="1">
      <c r="A2" s="406" t="str">
        <f>'Institution ID'!C3</f>
        <v>George Mason University</v>
      </c>
      <c r="B2" s="406"/>
      <c r="C2" s="406"/>
      <c r="D2" s="406"/>
      <c r="E2" s="406"/>
      <c r="F2" s="406"/>
      <c r="G2" s="406"/>
      <c r="H2" s="67"/>
      <c r="J2" s="37"/>
      <c r="L2" s="37"/>
      <c r="N2" s="37"/>
      <c r="P2" s="37"/>
    </row>
    <row r="3" spans="1:18" s="34" customFormat="1" ht="147" customHeight="1">
      <c r="A3" s="407" t="s">
        <v>92</v>
      </c>
      <c r="B3" s="408"/>
      <c r="C3" s="408"/>
      <c r="D3" s="408"/>
      <c r="E3" s="408"/>
      <c r="F3" s="408"/>
      <c r="G3" s="409"/>
      <c r="H3" s="68"/>
      <c r="I3" s="410" t="s">
        <v>93</v>
      </c>
      <c r="J3" s="411"/>
      <c r="K3" s="411"/>
      <c r="L3" s="411"/>
      <c r="M3" s="411"/>
      <c r="N3" s="411"/>
      <c r="O3" s="412"/>
    </row>
    <row r="4" spans="1:18" ht="15" customHeight="1">
      <c r="A4" s="413" t="s">
        <v>94</v>
      </c>
      <c r="B4" s="69" t="s">
        <v>95</v>
      </c>
      <c r="C4" s="69" t="s">
        <v>96</v>
      </c>
      <c r="D4" s="70"/>
      <c r="E4" s="69" t="s">
        <v>97</v>
      </c>
      <c r="F4" s="70"/>
      <c r="G4" s="69" t="s">
        <v>98</v>
      </c>
      <c r="H4" s="70"/>
      <c r="I4" s="69" t="s">
        <v>99</v>
      </c>
      <c r="J4" s="70"/>
      <c r="K4" s="69" t="s">
        <v>100</v>
      </c>
      <c r="L4" s="70"/>
      <c r="M4" s="71" t="s">
        <v>101</v>
      </c>
      <c r="N4" s="70"/>
      <c r="O4" s="69" t="s">
        <v>102</v>
      </c>
      <c r="P4" s="70"/>
    </row>
    <row r="5" spans="1:18" ht="30" customHeight="1">
      <c r="A5" s="413"/>
      <c r="B5" s="72" t="s">
        <v>103</v>
      </c>
      <c r="C5" s="72" t="s">
        <v>103</v>
      </c>
      <c r="D5" s="73" t="s">
        <v>104</v>
      </c>
      <c r="E5" s="72" t="s">
        <v>105</v>
      </c>
      <c r="F5" s="73" t="s">
        <v>104</v>
      </c>
      <c r="G5" s="72" t="s">
        <v>105</v>
      </c>
      <c r="H5" s="73" t="s">
        <v>104</v>
      </c>
      <c r="I5" s="72" t="s">
        <v>106</v>
      </c>
      <c r="J5" s="73" t="s">
        <v>104</v>
      </c>
      <c r="K5" s="72" t="s">
        <v>106</v>
      </c>
      <c r="L5" s="73" t="s">
        <v>104</v>
      </c>
      <c r="M5" s="72" t="s">
        <v>106</v>
      </c>
      <c r="N5" s="73" t="s">
        <v>104</v>
      </c>
      <c r="O5" s="72" t="s">
        <v>106</v>
      </c>
      <c r="P5" s="73" t="s">
        <v>104</v>
      </c>
      <c r="Q5" s="74" t="s">
        <v>107</v>
      </c>
      <c r="R5" s="75" t="s">
        <v>108</v>
      </c>
    </row>
    <row r="6" spans="1:18" ht="15" customHeight="1">
      <c r="A6" s="76" t="s">
        <v>109</v>
      </c>
      <c r="B6" s="76"/>
      <c r="C6" s="76"/>
      <c r="D6" s="77"/>
      <c r="E6" s="76"/>
      <c r="F6" s="77"/>
      <c r="G6" s="76"/>
      <c r="H6" s="77"/>
      <c r="J6" s="77"/>
      <c r="L6" s="77"/>
      <c r="N6" s="77"/>
      <c r="O6" s="78"/>
      <c r="P6" s="77"/>
      <c r="Q6" s="79"/>
      <c r="R6" s="80"/>
    </row>
    <row r="7" spans="1:18" ht="15" customHeight="1">
      <c r="A7" s="81" t="s">
        <v>110</v>
      </c>
      <c r="B7" s="82">
        <v>188483012.03451306</v>
      </c>
      <c r="C7" s="82">
        <v>193081393.98218232</v>
      </c>
      <c r="D7" s="77">
        <f>IF(B7=0,"%",C7/B7-1)</f>
        <v>2.4396797876018894E-2</v>
      </c>
      <c r="E7" s="82">
        <v>202353687.49959546</v>
      </c>
      <c r="F7" s="77">
        <f>IF(C7=0,"%",E7/C7-1)</f>
        <v>4.8022718948614873E-2</v>
      </c>
      <c r="G7" s="82">
        <v>212069506.28675306</v>
      </c>
      <c r="H7" s="77">
        <f>IF(E7=0,"%",G7/E7-1)</f>
        <v>4.8014043663904271E-2</v>
      </c>
      <c r="I7" s="82">
        <v>215475239.70917249</v>
      </c>
      <c r="J7" s="77">
        <f>IF(G7=0,"%",I7/G7-1)</f>
        <v>1.6059515024353876E-2</v>
      </c>
      <c r="K7" s="82">
        <v>219310128.97957125</v>
      </c>
      <c r="L7" s="77">
        <f>IF(I7=0,"%",K7/I7-1)</f>
        <v>1.7797354701053925E-2</v>
      </c>
      <c r="M7" s="82">
        <v>223203516.08437118</v>
      </c>
      <c r="N7" s="77">
        <f>IF(K7=0,"%",M7/K7-1)</f>
        <v>1.7752883202045711E-2</v>
      </c>
      <c r="O7" s="82">
        <v>227156297.98099515</v>
      </c>
      <c r="P7" s="77">
        <f>IF(M7=0,"%",O7/M7-1)</f>
        <v>1.770931733499137E-2</v>
      </c>
      <c r="Q7" s="79" t="str">
        <f t="shared" ref="Q7:Q26" si="0">IF(O13=0,"%",O13/B13-1)</f>
        <v>%</v>
      </c>
      <c r="R7" s="80">
        <f t="shared" ref="R7:R26" si="1">IF(B7=0,"%",(O7/B7)^(1/7)-1)</f>
        <v>2.7020088359090755E-2</v>
      </c>
    </row>
    <row r="8" spans="1:18" ht="15" customHeight="1">
      <c r="A8" s="81" t="s">
        <v>111</v>
      </c>
      <c r="B8" s="82">
        <v>150506880.35586742</v>
      </c>
      <c r="C8" s="82">
        <v>157844001.71382597</v>
      </c>
      <c r="D8" s="77">
        <f>IF(B8=0,"%",C8/B8-1)</f>
        <v>4.8749408270307937E-2</v>
      </c>
      <c r="E8" s="82">
        <v>167640241.34997702</v>
      </c>
      <c r="F8" s="77">
        <f>IF(C8=0,"%",E8/C8-1)</f>
        <v>6.2062793199527455E-2</v>
      </c>
      <c r="G8" s="82">
        <v>178101888.83736855</v>
      </c>
      <c r="H8" s="77">
        <f>IF(E8=0,"%",G8/E8-1)</f>
        <v>6.2405347326785821E-2</v>
      </c>
      <c r="I8" s="82">
        <v>180897638.81560177</v>
      </c>
      <c r="J8" s="77">
        <f>IF(G8=0,"%",I8/G8-1)</f>
        <v>1.5697475172686826E-2</v>
      </c>
      <c r="K8" s="82">
        <v>183695597.81006071</v>
      </c>
      <c r="L8" s="77">
        <f>IF(I8=0,"%",K8/I8-1)</f>
        <v>1.5467084107775753E-2</v>
      </c>
      <c r="M8" s="82">
        <v>186536224.41672826</v>
      </c>
      <c r="N8" s="77">
        <f>IF(K8=0,"%",M8/K8-1)</f>
        <v>1.5463770719234882E-2</v>
      </c>
      <c r="O8" s="82">
        <v>189420172.61433345</v>
      </c>
      <c r="P8" s="77">
        <f>IF(M8=0,"%",O8/M8-1)</f>
        <v>1.5460526268411767E-2</v>
      </c>
      <c r="Q8" s="79" t="str">
        <f t="shared" si="0"/>
        <v>%</v>
      </c>
      <c r="R8" s="80">
        <f t="shared" si="1"/>
        <v>3.339682970859692E-2</v>
      </c>
    </row>
    <row r="9" spans="1:18" ht="15" customHeight="1">
      <c r="A9" s="81" t="s">
        <v>112</v>
      </c>
      <c r="B9" s="82">
        <v>44986666.936816484</v>
      </c>
      <c r="C9" s="82">
        <v>43036178.744193226</v>
      </c>
      <c r="D9" s="77">
        <f t="shared" ref="D9:D26" si="2">IF(B9=0,"%",C9/B9-1)</f>
        <v>-4.3357028324919167E-2</v>
      </c>
      <c r="E9" s="82">
        <v>44260088.733486205</v>
      </c>
      <c r="F9" s="77">
        <f t="shared" ref="F9:P26" si="3">IF(C9=0,"%",E9/C9-1)</f>
        <v>2.8439095314848784E-2</v>
      </c>
      <c r="G9" s="82">
        <v>45684616.48331248</v>
      </c>
      <c r="H9" s="77">
        <f t="shared" si="3"/>
        <v>3.2185379437536188E-2</v>
      </c>
      <c r="I9" s="82">
        <v>46920982.925971672</v>
      </c>
      <c r="J9" s="77">
        <f t="shared" si="3"/>
        <v>2.706308026271409E-2</v>
      </c>
      <c r="K9" s="82">
        <v>47855942.033599004</v>
      </c>
      <c r="L9" s="77">
        <f t="shared" si="3"/>
        <v>1.9926247263456487E-2</v>
      </c>
      <c r="M9" s="82">
        <v>48805176.018068284</v>
      </c>
      <c r="N9" s="77">
        <f t="shared" si="3"/>
        <v>1.983523767650075E-2</v>
      </c>
      <c r="O9" s="82">
        <v>49768904.012336731</v>
      </c>
      <c r="P9" s="77">
        <f t="shared" si="3"/>
        <v>1.974643004896981E-2</v>
      </c>
      <c r="Q9" s="79" t="str">
        <f t="shared" si="0"/>
        <v>%</v>
      </c>
      <c r="R9" s="80">
        <f t="shared" si="1"/>
        <v>1.453667542010173E-2</v>
      </c>
    </row>
    <row r="10" spans="1:18" ht="15" customHeight="1">
      <c r="A10" s="81" t="s">
        <v>113</v>
      </c>
      <c r="B10" s="82">
        <v>77656621.832964003</v>
      </c>
      <c r="C10" s="82">
        <v>88741782.721529961</v>
      </c>
      <c r="D10" s="77">
        <f t="shared" si="2"/>
        <v>0.14274585511084492</v>
      </c>
      <c r="E10" s="82">
        <v>94450275.721054718</v>
      </c>
      <c r="F10" s="77">
        <f t="shared" si="3"/>
        <v>6.4327003858350551E-2</v>
      </c>
      <c r="G10" s="82">
        <v>100543893.4323197</v>
      </c>
      <c r="H10" s="77">
        <f t="shared" si="3"/>
        <v>6.4516674670824781E-2</v>
      </c>
      <c r="I10" s="82">
        <v>102294484.28579408</v>
      </c>
      <c r="J10" s="77">
        <f t="shared" si="3"/>
        <v>1.7411210106487163E-2</v>
      </c>
      <c r="K10" s="82">
        <v>104055230.25686291</v>
      </c>
      <c r="L10" s="77">
        <f t="shared" si="3"/>
        <v>1.7212521118436852E-2</v>
      </c>
      <c r="M10" s="82">
        <v>105842795.96167549</v>
      </c>
      <c r="N10" s="77">
        <f t="shared" si="3"/>
        <v>1.7179008689903741E-2</v>
      </c>
      <c r="O10" s="82">
        <v>107657591.86712161</v>
      </c>
      <c r="P10" s="77">
        <f t="shared" si="3"/>
        <v>1.7146144798586338E-2</v>
      </c>
      <c r="Q10" s="79" t="str">
        <f t="shared" si="0"/>
        <v>%</v>
      </c>
      <c r="R10" s="80">
        <f t="shared" si="1"/>
        <v>4.7771533918525622E-2</v>
      </c>
    </row>
    <row r="11" spans="1:18" ht="15" customHeight="1">
      <c r="A11" s="81" t="s">
        <v>114</v>
      </c>
      <c r="B11" s="82">
        <v>7068138.9413581518</v>
      </c>
      <c r="C11" s="82">
        <v>7235268.4698507776</v>
      </c>
      <c r="D11" s="77">
        <f t="shared" si="2"/>
        <v>2.3645478658419261E-2</v>
      </c>
      <c r="E11" s="82">
        <v>7694016.0080732983</v>
      </c>
      <c r="F11" s="77">
        <f t="shared" si="3"/>
        <v>6.3404356055910327E-2</v>
      </c>
      <c r="G11" s="82">
        <v>8185578.6854273807</v>
      </c>
      <c r="H11" s="77">
        <f t="shared" si="3"/>
        <v>6.3888959528845213E-2</v>
      </c>
      <c r="I11" s="82">
        <v>8315653.9207258187</v>
      </c>
      <c r="J11" s="77">
        <f t="shared" si="3"/>
        <v>1.5890780639615354E-2</v>
      </c>
      <c r="K11" s="82">
        <v>8447713.2926462814</v>
      </c>
      <c r="L11" s="77">
        <f t="shared" si="3"/>
        <v>1.5880816250820606E-2</v>
      </c>
      <c r="M11" s="82">
        <v>8581787.2233999465</v>
      </c>
      <c r="N11" s="77">
        <f t="shared" si="3"/>
        <v>1.5871032326626899E-2</v>
      </c>
      <c r="O11" s="82">
        <v>8717906.6047344059</v>
      </c>
      <c r="P11" s="77">
        <f t="shared" si="3"/>
        <v>1.5861425806888318E-2</v>
      </c>
      <c r="Q11" s="79" t="str">
        <f t="shared" si="0"/>
        <v>%</v>
      </c>
      <c r="R11" s="80">
        <f t="shared" si="1"/>
        <v>3.042243266919753E-2</v>
      </c>
    </row>
    <row r="12" spans="1:18" ht="15" customHeight="1">
      <c r="A12" s="81" t="s">
        <v>115</v>
      </c>
      <c r="B12" s="82">
        <v>20688679.155575961</v>
      </c>
      <c r="C12" s="82">
        <v>22190041.33850237</v>
      </c>
      <c r="D12" s="77">
        <f t="shared" si="2"/>
        <v>7.256926223449911E-2</v>
      </c>
      <c r="E12" s="82">
        <v>23619331.32552667</v>
      </c>
      <c r="F12" s="77">
        <f t="shared" si="3"/>
        <v>6.4411326018771753E-2</v>
      </c>
      <c r="G12" s="82">
        <v>25151862.498830345</v>
      </c>
      <c r="H12" s="77">
        <f t="shared" si="3"/>
        <v>6.4884613039294159E-2</v>
      </c>
      <c r="I12" s="82">
        <v>25577132.77565252</v>
      </c>
      <c r="J12" s="77">
        <f t="shared" si="3"/>
        <v>1.6908102803200098E-2</v>
      </c>
      <c r="K12" s="82">
        <v>26008886.630988337</v>
      </c>
      <c r="L12" s="77">
        <f t="shared" si="3"/>
        <v>1.6880463464099105E-2</v>
      </c>
      <c r="M12" s="82">
        <v>26447223.409002721</v>
      </c>
      <c r="N12" s="77">
        <f t="shared" si="3"/>
        <v>1.685334648243364E-2</v>
      </c>
      <c r="O12" s="82">
        <v>26892243.985832822</v>
      </c>
      <c r="P12" s="77">
        <f t="shared" si="3"/>
        <v>1.6826740937901707E-2</v>
      </c>
      <c r="Q12" s="79" t="str">
        <f t="shared" si="0"/>
        <v>%</v>
      </c>
      <c r="R12" s="80">
        <f t="shared" si="1"/>
        <v>3.8175106712958762E-2</v>
      </c>
    </row>
    <row r="13" spans="1:18" ht="15" customHeight="1">
      <c r="A13" s="81" t="s">
        <v>116</v>
      </c>
      <c r="B13" s="82">
        <f>0</f>
        <v>0</v>
      </c>
      <c r="C13" s="82">
        <f>0</f>
        <v>0</v>
      </c>
      <c r="D13" s="77" t="str">
        <f t="shared" si="2"/>
        <v>%</v>
      </c>
      <c r="E13" s="82">
        <f>0</f>
        <v>0</v>
      </c>
      <c r="F13" s="77" t="str">
        <f t="shared" si="3"/>
        <v>%</v>
      </c>
      <c r="G13" s="82">
        <f>0</f>
        <v>0</v>
      </c>
      <c r="H13" s="77" t="str">
        <f t="shared" si="3"/>
        <v>%</v>
      </c>
      <c r="I13" s="82">
        <f>0</f>
        <v>0</v>
      </c>
      <c r="J13" s="77" t="str">
        <f t="shared" si="3"/>
        <v>%</v>
      </c>
      <c r="K13" s="82">
        <f>0</f>
        <v>0</v>
      </c>
      <c r="L13" s="77" t="str">
        <f t="shared" si="3"/>
        <v>%</v>
      </c>
      <c r="M13" s="82">
        <f>0</f>
        <v>0</v>
      </c>
      <c r="N13" s="77" t="str">
        <f t="shared" si="3"/>
        <v>%</v>
      </c>
      <c r="O13" s="82">
        <f>0</f>
        <v>0</v>
      </c>
      <c r="P13" s="77" t="str">
        <f t="shared" si="3"/>
        <v>%</v>
      </c>
      <c r="Q13" s="79" t="str">
        <f t="shared" si="0"/>
        <v>%</v>
      </c>
      <c r="R13" s="80" t="str">
        <f t="shared" si="1"/>
        <v>%</v>
      </c>
    </row>
    <row r="14" spans="1:18" ht="15" customHeight="1">
      <c r="A14" s="81" t="s">
        <v>117</v>
      </c>
      <c r="B14" s="82">
        <f>0</f>
        <v>0</v>
      </c>
      <c r="C14" s="82">
        <f>0</f>
        <v>0</v>
      </c>
      <c r="D14" s="77" t="str">
        <f t="shared" si="2"/>
        <v>%</v>
      </c>
      <c r="E14" s="82">
        <f>0</f>
        <v>0</v>
      </c>
      <c r="F14" s="77" t="str">
        <f t="shared" si="3"/>
        <v>%</v>
      </c>
      <c r="G14" s="82">
        <f>0</f>
        <v>0</v>
      </c>
      <c r="H14" s="77" t="str">
        <f t="shared" si="3"/>
        <v>%</v>
      </c>
      <c r="I14" s="82">
        <f>0</f>
        <v>0</v>
      </c>
      <c r="J14" s="77" t="str">
        <f t="shared" si="3"/>
        <v>%</v>
      </c>
      <c r="K14" s="82">
        <f>0</f>
        <v>0</v>
      </c>
      <c r="L14" s="77" t="str">
        <f t="shared" si="3"/>
        <v>%</v>
      </c>
      <c r="M14" s="82">
        <f>0</f>
        <v>0</v>
      </c>
      <c r="N14" s="77" t="str">
        <f t="shared" si="3"/>
        <v>%</v>
      </c>
      <c r="O14" s="82">
        <f>0</f>
        <v>0</v>
      </c>
      <c r="P14" s="77" t="str">
        <f t="shared" si="3"/>
        <v>%</v>
      </c>
      <c r="Q14" s="79" t="str">
        <f t="shared" si="0"/>
        <v>%</v>
      </c>
      <c r="R14" s="80" t="str">
        <f t="shared" si="1"/>
        <v>%</v>
      </c>
    </row>
    <row r="15" spans="1:18" ht="15" customHeight="1">
      <c r="A15" s="81" t="s">
        <v>118</v>
      </c>
      <c r="B15" s="82">
        <f>0</f>
        <v>0</v>
      </c>
      <c r="C15" s="82">
        <f>0</f>
        <v>0</v>
      </c>
      <c r="D15" s="77" t="str">
        <f t="shared" si="2"/>
        <v>%</v>
      </c>
      <c r="E15" s="82">
        <f>0</f>
        <v>0</v>
      </c>
      <c r="F15" s="77" t="str">
        <f t="shared" si="3"/>
        <v>%</v>
      </c>
      <c r="G15" s="82">
        <f>0</f>
        <v>0</v>
      </c>
      <c r="H15" s="77" t="str">
        <f t="shared" si="3"/>
        <v>%</v>
      </c>
      <c r="I15" s="82">
        <f>0</f>
        <v>0</v>
      </c>
      <c r="J15" s="77" t="str">
        <f t="shared" si="3"/>
        <v>%</v>
      </c>
      <c r="K15" s="82">
        <f>0</f>
        <v>0</v>
      </c>
      <c r="L15" s="77" t="str">
        <f t="shared" si="3"/>
        <v>%</v>
      </c>
      <c r="M15" s="82">
        <f>0</f>
        <v>0</v>
      </c>
      <c r="N15" s="77" t="str">
        <f t="shared" si="3"/>
        <v>%</v>
      </c>
      <c r="O15" s="82">
        <f>0</f>
        <v>0</v>
      </c>
      <c r="P15" s="77" t="str">
        <f t="shared" si="3"/>
        <v>%</v>
      </c>
      <c r="Q15" s="79">
        <f t="shared" si="0"/>
        <v>0.23340905959316771</v>
      </c>
      <c r="R15" s="80" t="str">
        <f t="shared" si="1"/>
        <v>%</v>
      </c>
    </row>
    <row r="16" spans="1:18" ht="15" customHeight="1">
      <c r="A16" s="81" t="s">
        <v>119</v>
      </c>
      <c r="B16" s="82">
        <f>0</f>
        <v>0</v>
      </c>
      <c r="C16" s="82">
        <f>0</f>
        <v>0</v>
      </c>
      <c r="D16" s="77" t="str">
        <f t="shared" si="2"/>
        <v>%</v>
      </c>
      <c r="E16" s="82">
        <f>0</f>
        <v>0</v>
      </c>
      <c r="F16" s="77" t="str">
        <f t="shared" si="3"/>
        <v>%</v>
      </c>
      <c r="G16" s="82">
        <f>0</f>
        <v>0</v>
      </c>
      <c r="H16" s="77" t="str">
        <f t="shared" si="3"/>
        <v>%</v>
      </c>
      <c r="I16" s="82">
        <f>0</f>
        <v>0</v>
      </c>
      <c r="J16" s="77" t="str">
        <f t="shared" si="3"/>
        <v>%</v>
      </c>
      <c r="K16" s="82">
        <f>0</f>
        <v>0</v>
      </c>
      <c r="L16" s="77" t="str">
        <f t="shared" si="3"/>
        <v>%</v>
      </c>
      <c r="M16" s="82">
        <f>0</f>
        <v>0</v>
      </c>
      <c r="N16" s="77" t="str">
        <f t="shared" si="3"/>
        <v>%</v>
      </c>
      <c r="O16" s="82">
        <f>0</f>
        <v>0</v>
      </c>
      <c r="P16" s="77" t="str">
        <f t="shared" si="3"/>
        <v>%</v>
      </c>
      <c r="Q16" s="79">
        <f t="shared" si="0"/>
        <v>0.29985311211058585</v>
      </c>
      <c r="R16" s="80" t="str">
        <f t="shared" si="1"/>
        <v>%</v>
      </c>
    </row>
    <row r="17" spans="1:18" ht="15" customHeight="1">
      <c r="A17" s="81" t="s">
        <v>120</v>
      </c>
      <c r="B17" s="82">
        <f>0</f>
        <v>0</v>
      </c>
      <c r="C17" s="82">
        <f>0</f>
        <v>0</v>
      </c>
      <c r="D17" s="77" t="str">
        <f t="shared" si="2"/>
        <v>%</v>
      </c>
      <c r="E17" s="82">
        <f>0</f>
        <v>0</v>
      </c>
      <c r="F17" s="77" t="str">
        <f t="shared" si="3"/>
        <v>%</v>
      </c>
      <c r="G17" s="82">
        <f>0</f>
        <v>0</v>
      </c>
      <c r="H17" s="77" t="str">
        <f t="shared" si="3"/>
        <v>%</v>
      </c>
      <c r="I17" s="82">
        <f>0</f>
        <v>0</v>
      </c>
      <c r="J17" s="77" t="str">
        <f t="shared" si="3"/>
        <v>%</v>
      </c>
      <c r="K17" s="82">
        <f>0</f>
        <v>0</v>
      </c>
      <c r="L17" s="77" t="str">
        <f t="shared" si="3"/>
        <v>%</v>
      </c>
      <c r="M17" s="82">
        <f>0</f>
        <v>0</v>
      </c>
      <c r="N17" s="77" t="str">
        <f t="shared" si="3"/>
        <v>%</v>
      </c>
      <c r="O17" s="82">
        <f>0</f>
        <v>0</v>
      </c>
      <c r="P17" s="77" t="str">
        <f t="shared" si="3"/>
        <v>%</v>
      </c>
      <c r="Q17" s="79">
        <f t="shared" si="0"/>
        <v>-0.19436968457315107</v>
      </c>
      <c r="R17" s="80" t="str">
        <f t="shared" si="1"/>
        <v>%</v>
      </c>
    </row>
    <row r="18" spans="1:18" ht="15" customHeight="1">
      <c r="A18" s="81" t="s">
        <v>121</v>
      </c>
      <c r="B18" s="82">
        <f>0</f>
        <v>0</v>
      </c>
      <c r="C18" s="82">
        <f>0</f>
        <v>0</v>
      </c>
      <c r="D18" s="77" t="str">
        <f t="shared" si="2"/>
        <v>%</v>
      </c>
      <c r="E18" s="82">
        <f>0</f>
        <v>0</v>
      </c>
      <c r="F18" s="77" t="str">
        <f t="shared" si="3"/>
        <v>%</v>
      </c>
      <c r="G18" s="82">
        <f>0</f>
        <v>0</v>
      </c>
      <c r="H18" s="77" t="str">
        <f t="shared" si="3"/>
        <v>%</v>
      </c>
      <c r="I18" s="82">
        <f>0</f>
        <v>0</v>
      </c>
      <c r="J18" s="77" t="str">
        <f t="shared" si="3"/>
        <v>%</v>
      </c>
      <c r="K18" s="82">
        <f>0</f>
        <v>0</v>
      </c>
      <c r="L18" s="77" t="str">
        <f t="shared" si="3"/>
        <v>%</v>
      </c>
      <c r="M18" s="82">
        <f>0</f>
        <v>0</v>
      </c>
      <c r="N18" s="77" t="str">
        <f t="shared" si="3"/>
        <v>%</v>
      </c>
      <c r="O18" s="82">
        <f>0</f>
        <v>0</v>
      </c>
      <c r="P18" s="77" t="str">
        <f t="shared" si="3"/>
        <v>%</v>
      </c>
      <c r="Q18" s="79">
        <f t="shared" ref="Q18:Q23" si="4">IF(O26=0,"%",O26/B26-1)</f>
        <v>0.17483274800820925</v>
      </c>
      <c r="R18" s="80" t="str">
        <f t="shared" si="1"/>
        <v>%</v>
      </c>
    </row>
    <row r="19" spans="1:18" ht="15" customHeight="1">
      <c r="A19" s="81" t="s">
        <v>122</v>
      </c>
      <c r="B19" s="82">
        <f>0</f>
        <v>0</v>
      </c>
      <c r="C19" s="82">
        <f>0</f>
        <v>0</v>
      </c>
      <c r="D19" s="77" t="str">
        <f t="shared" si="2"/>
        <v>%</v>
      </c>
      <c r="E19" s="82">
        <f>0</f>
        <v>0</v>
      </c>
      <c r="F19" s="77" t="str">
        <f t="shared" si="3"/>
        <v>%</v>
      </c>
      <c r="G19" s="82">
        <f>0</f>
        <v>0</v>
      </c>
      <c r="H19" s="77" t="str">
        <f t="shared" si="3"/>
        <v>%</v>
      </c>
      <c r="I19" s="82">
        <f>0</f>
        <v>0</v>
      </c>
      <c r="J19" s="77" t="str">
        <f t="shared" si="3"/>
        <v>%</v>
      </c>
      <c r="K19" s="82">
        <f>0</f>
        <v>0</v>
      </c>
      <c r="L19" s="77" t="str">
        <f t="shared" si="3"/>
        <v>%</v>
      </c>
      <c r="M19" s="82">
        <f>0</f>
        <v>0</v>
      </c>
      <c r="N19" s="77" t="str">
        <f t="shared" si="3"/>
        <v>%</v>
      </c>
      <c r="O19" s="82">
        <f>0</f>
        <v>0</v>
      </c>
      <c r="P19" s="77" t="str">
        <f t="shared" si="3"/>
        <v>%</v>
      </c>
      <c r="Q19" s="79" t="str">
        <f t="shared" si="4"/>
        <v>%</v>
      </c>
      <c r="R19" s="80" t="str">
        <f t="shared" si="1"/>
        <v>%</v>
      </c>
    </row>
    <row r="20" spans="1:18" ht="15" customHeight="1">
      <c r="A20" s="81" t="s">
        <v>123</v>
      </c>
      <c r="B20" s="82">
        <f>0</f>
        <v>0</v>
      </c>
      <c r="C20" s="82">
        <f>0</f>
        <v>0</v>
      </c>
      <c r="D20" s="77" t="str">
        <f t="shared" si="2"/>
        <v>%</v>
      </c>
      <c r="E20" s="82">
        <f>0</f>
        <v>0</v>
      </c>
      <c r="F20" s="77" t="str">
        <f t="shared" si="3"/>
        <v>%</v>
      </c>
      <c r="G20" s="82">
        <f>0</f>
        <v>0</v>
      </c>
      <c r="H20" s="77" t="str">
        <f t="shared" si="3"/>
        <v>%</v>
      </c>
      <c r="I20" s="82">
        <f>0</f>
        <v>0</v>
      </c>
      <c r="J20" s="77" t="str">
        <f t="shared" si="3"/>
        <v>%</v>
      </c>
      <c r="K20" s="82">
        <f>0</f>
        <v>0</v>
      </c>
      <c r="L20" s="77" t="str">
        <f t="shared" si="3"/>
        <v>%</v>
      </c>
      <c r="M20" s="82">
        <f>0</f>
        <v>0</v>
      </c>
      <c r="N20" s="77" t="str">
        <f t="shared" si="3"/>
        <v>%</v>
      </c>
      <c r="O20" s="82">
        <f>0</f>
        <v>0</v>
      </c>
      <c r="P20" s="77" t="str">
        <f t="shared" si="3"/>
        <v>%</v>
      </c>
      <c r="Q20" s="79" t="str">
        <f t="shared" si="4"/>
        <v>%</v>
      </c>
      <c r="R20" s="80" t="str">
        <f t="shared" si="1"/>
        <v>%</v>
      </c>
    </row>
    <row r="21" spans="1:18" ht="15" customHeight="1">
      <c r="A21" s="83" t="s">
        <v>124</v>
      </c>
      <c r="B21" s="84">
        <f>SUM(B11,B13,B15,B17,B19)</f>
        <v>7068138.9413581518</v>
      </c>
      <c r="C21" s="84">
        <f>SUM(C11,C13,C15,C17,C19)</f>
        <v>7235268.4698507776</v>
      </c>
      <c r="D21" s="77">
        <f t="shared" si="2"/>
        <v>2.3645478658419261E-2</v>
      </c>
      <c r="E21" s="84">
        <f>SUM(E11,E13,E15,E17,E19)</f>
        <v>7694016.0080732983</v>
      </c>
      <c r="F21" s="77">
        <f t="shared" si="3"/>
        <v>6.3404356055910327E-2</v>
      </c>
      <c r="G21" s="84">
        <f>SUM(G11,G13,G15,G17,G19)</f>
        <v>8185578.6854273807</v>
      </c>
      <c r="H21" s="77">
        <f t="shared" si="3"/>
        <v>6.3888959528845213E-2</v>
      </c>
      <c r="I21" s="84">
        <f>SUM(I11,I13,I15,I17,I19)</f>
        <v>8315653.9207258187</v>
      </c>
      <c r="J21" s="77">
        <f t="shared" si="3"/>
        <v>1.5890780639615354E-2</v>
      </c>
      <c r="K21" s="84">
        <f>SUM(K11,K13,K15,K17,K19)</f>
        <v>8447713.2926462814</v>
      </c>
      <c r="L21" s="77">
        <f t="shared" si="3"/>
        <v>1.5880816250820606E-2</v>
      </c>
      <c r="M21" s="84">
        <f>SUM(M11,M13,M15,M17,M19)</f>
        <v>8581787.2233999465</v>
      </c>
      <c r="N21" s="77">
        <f t="shared" si="3"/>
        <v>1.5871032326626899E-2</v>
      </c>
      <c r="O21" s="84">
        <f>SUM(O11,O13,O15,O17,O19)</f>
        <v>8717906.6047344059</v>
      </c>
      <c r="P21" s="77">
        <f t="shared" si="3"/>
        <v>1.5861425806888318E-2</v>
      </c>
      <c r="Q21" s="79" t="str">
        <f t="shared" si="4"/>
        <v>%</v>
      </c>
      <c r="R21" s="80">
        <f t="shared" si="1"/>
        <v>3.042243266919753E-2</v>
      </c>
    </row>
    <row r="22" spans="1:18" ht="15" customHeight="1">
      <c r="A22" s="83" t="s">
        <v>125</v>
      </c>
      <c r="B22" s="84">
        <f>SUM(B12,B14,B16,B18,B20)</f>
        <v>20688679.155575961</v>
      </c>
      <c r="C22" s="84">
        <f>SUM(C12,C14,C16,C18,C20)</f>
        <v>22190041.33850237</v>
      </c>
      <c r="D22" s="77">
        <f t="shared" si="2"/>
        <v>7.256926223449911E-2</v>
      </c>
      <c r="E22" s="84">
        <f>SUM(E12,E14,E16,E18,E20)</f>
        <v>23619331.32552667</v>
      </c>
      <c r="F22" s="77">
        <f t="shared" si="3"/>
        <v>6.4411326018771753E-2</v>
      </c>
      <c r="G22" s="84">
        <f>SUM(G12,G14,G16,G18,G20)</f>
        <v>25151862.498830345</v>
      </c>
      <c r="H22" s="77">
        <f t="shared" si="3"/>
        <v>6.4884613039294159E-2</v>
      </c>
      <c r="I22" s="84">
        <f>SUM(I12,I14,I16,I18,I20)</f>
        <v>25577132.77565252</v>
      </c>
      <c r="J22" s="77">
        <f t="shared" si="3"/>
        <v>1.6908102803200098E-2</v>
      </c>
      <c r="K22" s="84">
        <f>SUM(K12,K14,K16,K18,K20)</f>
        <v>26008886.630988337</v>
      </c>
      <c r="L22" s="77">
        <f t="shared" si="3"/>
        <v>1.6880463464099105E-2</v>
      </c>
      <c r="M22" s="84">
        <f>SUM(M12,M14,M16,M18,M20)</f>
        <v>26447223.409002721</v>
      </c>
      <c r="N22" s="77">
        <f t="shared" si="3"/>
        <v>1.685334648243364E-2</v>
      </c>
      <c r="O22" s="84">
        <f>SUM(O12,O14,O16,O18,O20)</f>
        <v>26892243.985832822</v>
      </c>
      <c r="P22" s="77">
        <f t="shared" si="3"/>
        <v>1.6826740937901707E-2</v>
      </c>
      <c r="Q22" s="79" t="str">
        <f t="shared" si="4"/>
        <v>%</v>
      </c>
      <c r="R22" s="80">
        <f t="shared" si="1"/>
        <v>3.8175106712958762E-2</v>
      </c>
    </row>
    <row r="23" spans="1:18" ht="15" customHeight="1">
      <c r="A23" s="85" t="s">
        <v>126</v>
      </c>
      <c r="B23" s="82">
        <v>18578000</v>
      </c>
      <c r="C23" s="82">
        <v>14967000</v>
      </c>
      <c r="D23" s="77">
        <f t="shared" si="2"/>
        <v>-0.19436968457315107</v>
      </c>
      <c r="E23" s="82">
        <v>14967000</v>
      </c>
      <c r="F23" s="77">
        <f t="shared" si="3"/>
        <v>0</v>
      </c>
      <c r="G23" s="82">
        <v>14967000</v>
      </c>
      <c r="H23" s="77">
        <f t="shared" si="3"/>
        <v>0</v>
      </c>
      <c r="I23" s="82">
        <v>14967000</v>
      </c>
      <c r="J23" s="77">
        <f t="shared" si="3"/>
        <v>0</v>
      </c>
      <c r="K23" s="82">
        <v>14967000</v>
      </c>
      <c r="L23" s="77">
        <f t="shared" si="3"/>
        <v>0</v>
      </c>
      <c r="M23" s="82">
        <v>14967000</v>
      </c>
      <c r="N23" s="77">
        <f t="shared" si="3"/>
        <v>0</v>
      </c>
      <c r="O23" s="82">
        <v>14967000</v>
      </c>
      <c r="P23" s="77">
        <f t="shared" si="3"/>
        <v>0</v>
      </c>
      <c r="Q23" s="79" t="str">
        <f t="shared" si="4"/>
        <v>%</v>
      </c>
      <c r="R23" s="80">
        <f t="shared" si="1"/>
        <v>-3.0403970053522134E-2</v>
      </c>
    </row>
    <row r="24" spans="1:18" ht="15" customHeight="1">
      <c r="A24" s="86" t="s">
        <v>127</v>
      </c>
      <c r="B24" s="84">
        <f>SUM(B7:B20,B23)</f>
        <v>507967999.2570951</v>
      </c>
      <c r="C24" s="84">
        <f>SUM(C7:C20,C23)</f>
        <v>527095666.97008461</v>
      </c>
      <c r="D24" s="77">
        <f t="shared" si="2"/>
        <v>3.7655261238825677E-2</v>
      </c>
      <c r="E24" s="84">
        <f>SUM(E7:E20,E23)</f>
        <v>554984640.63771343</v>
      </c>
      <c r="F24" s="77">
        <f t="shared" si="3"/>
        <v>5.2910648702433116E-2</v>
      </c>
      <c r="G24" s="84">
        <f>SUM(G7:G20,G23)</f>
        <v>584704346.22401154</v>
      </c>
      <c r="H24" s="77">
        <f t="shared" si="3"/>
        <v>5.3550501059179245E-2</v>
      </c>
      <c r="I24" s="84">
        <f>SUM(I7:I20,I23)</f>
        <v>594448132.43291843</v>
      </c>
      <c r="J24" s="77">
        <f t="shared" si="3"/>
        <v>1.6664466874295902E-2</v>
      </c>
      <c r="K24" s="84">
        <f>SUM(K7:K20,K23)</f>
        <v>604340499.00372851</v>
      </c>
      <c r="L24" s="77">
        <f t="shared" si="3"/>
        <v>1.6641261080799774E-2</v>
      </c>
      <c r="M24" s="84">
        <f>SUM(M7:M20,M23)</f>
        <v>614383723.11324596</v>
      </c>
      <c r="N24" s="77">
        <f t="shared" si="3"/>
        <v>1.6618485979466913E-2</v>
      </c>
      <c r="O24" s="84">
        <f>SUM(O7:O20,O23)</f>
        <v>624580117.06535411</v>
      </c>
      <c r="P24" s="77">
        <f t="shared" si="3"/>
        <v>1.6596132951635312E-2</v>
      </c>
      <c r="Q24" s="79" t="str">
        <f t="shared" ref="Q24" si="5">IF(O30=0,"%",O30/B30-1)</f>
        <v>%</v>
      </c>
      <c r="R24" s="80">
        <f t="shared" si="1"/>
        <v>2.9963147785607713E-2</v>
      </c>
    </row>
    <row r="25" spans="1:18" ht="15" customHeight="1">
      <c r="A25" s="87" t="s">
        <v>128</v>
      </c>
      <c r="B25" s="88">
        <v>223379000</v>
      </c>
      <c r="C25" s="88">
        <v>234630287.8194167</v>
      </c>
      <c r="D25" s="77">
        <f t="shared" si="2"/>
        <v>5.0368601432617677E-2</v>
      </c>
      <c r="E25" s="88">
        <v>234630287.8194167</v>
      </c>
      <c r="F25" s="77">
        <f t="shared" si="3"/>
        <v>0</v>
      </c>
      <c r="G25" s="88">
        <v>234630287.8194167</v>
      </c>
      <c r="H25" s="77">
        <f t="shared" si="3"/>
        <v>0</v>
      </c>
      <c r="I25" s="88">
        <v>234630287.8194167</v>
      </c>
      <c r="J25" s="77">
        <f t="shared" si="3"/>
        <v>0</v>
      </c>
      <c r="K25" s="88">
        <v>234630287.8194167</v>
      </c>
      <c r="L25" s="77">
        <f t="shared" si="3"/>
        <v>0</v>
      </c>
      <c r="M25" s="88">
        <v>234630287.8194167</v>
      </c>
      <c r="N25" s="77">
        <f t="shared" si="3"/>
        <v>0</v>
      </c>
      <c r="O25" s="88">
        <v>234630287.8194167</v>
      </c>
      <c r="P25" s="77">
        <f t="shared" si="3"/>
        <v>0</v>
      </c>
      <c r="Q25" s="79" t="str">
        <f t="shared" ref="Q25" si="6">IF(O32=0,"%",O32/B32-1)</f>
        <v>%</v>
      </c>
      <c r="R25" s="80">
        <f t="shared" si="1"/>
        <v>7.0448636254021313E-3</v>
      </c>
    </row>
    <row r="26" spans="1:18" ht="15" customHeight="1">
      <c r="A26" s="86" t="s">
        <v>129</v>
      </c>
      <c r="B26" s="84">
        <f>B25+B24</f>
        <v>731346999.2570951</v>
      </c>
      <c r="C26" s="84">
        <f>C25+C24</f>
        <v>761725954.78950131</v>
      </c>
      <c r="D26" s="77">
        <f t="shared" si="2"/>
        <v>4.1538360809937336E-2</v>
      </c>
      <c r="E26" s="84">
        <f>E25+E24</f>
        <v>789614928.45713019</v>
      </c>
      <c r="F26" s="77">
        <f t="shared" si="3"/>
        <v>3.6612870406044884E-2</v>
      </c>
      <c r="G26" s="84">
        <f>G25+G24</f>
        <v>819334634.04342818</v>
      </c>
      <c r="H26" s="77">
        <f t="shared" si="3"/>
        <v>3.7638226577565881E-2</v>
      </c>
      <c r="I26" s="84">
        <f>I25+I24</f>
        <v>829078420.25233507</v>
      </c>
      <c r="J26" s="77">
        <f t="shared" si="3"/>
        <v>1.1892315793879282E-2</v>
      </c>
      <c r="K26" s="84">
        <f>K25+K24</f>
        <v>838970786.82314515</v>
      </c>
      <c r="L26" s="77">
        <f t="shared" si="3"/>
        <v>1.1931762218342801E-2</v>
      </c>
      <c r="M26" s="84">
        <f>M25+M24</f>
        <v>849014010.93266273</v>
      </c>
      <c r="N26" s="77">
        <f t="shared" si="3"/>
        <v>1.19708865520185E-2</v>
      </c>
      <c r="O26" s="84">
        <f>O25+O24</f>
        <v>859210404.88477087</v>
      </c>
      <c r="P26" s="77">
        <f t="shared" si="3"/>
        <v>1.200968867511043E-2</v>
      </c>
      <c r="Q26" s="79" t="str">
        <f t="shared" si="0"/>
        <v>%</v>
      </c>
      <c r="R26" s="80">
        <f t="shared" si="1"/>
        <v>2.3284928593333865E-2</v>
      </c>
    </row>
    <row r="27" spans="1:18" ht="15" customHeight="1">
      <c r="A27" s="89"/>
      <c r="B27" s="90"/>
      <c r="C27" s="90"/>
      <c r="D27" s="91"/>
      <c r="E27" s="90"/>
      <c r="F27" s="91"/>
      <c r="G27" s="90"/>
      <c r="H27" s="91"/>
      <c r="I27" s="90"/>
      <c r="J27" s="91"/>
      <c r="K27" s="90"/>
      <c r="L27" s="92"/>
      <c r="M27" s="90"/>
      <c r="N27" s="92"/>
      <c r="O27" s="90"/>
      <c r="P27" s="91"/>
    </row>
    <row r="28" spans="1:18" ht="15" customHeight="1">
      <c r="A28" s="89"/>
      <c r="B28" s="90"/>
      <c r="C28" s="90"/>
      <c r="D28" s="91"/>
      <c r="E28" s="90"/>
      <c r="F28" s="91"/>
      <c r="G28" s="90"/>
      <c r="H28" s="91"/>
      <c r="I28" s="90"/>
      <c r="J28" s="91"/>
      <c r="K28" s="90"/>
      <c r="L28" s="92"/>
      <c r="M28" s="90"/>
      <c r="N28" s="92"/>
      <c r="O28" s="90"/>
      <c r="P28" s="91"/>
    </row>
    <row r="29" spans="1:18" ht="15" customHeight="1">
      <c r="A29" s="93"/>
      <c r="B29" s="69" t="s">
        <v>95</v>
      </c>
      <c r="C29" s="69" t="s">
        <v>96</v>
      </c>
      <c r="D29" s="70"/>
      <c r="E29" s="69" t="s">
        <v>97</v>
      </c>
      <c r="F29" s="70"/>
      <c r="G29" s="69" t="s">
        <v>98</v>
      </c>
      <c r="H29" s="70"/>
      <c r="J29" s="37"/>
      <c r="L29" s="37"/>
      <c r="N29" s="37"/>
      <c r="P29" s="37"/>
    </row>
    <row r="30" spans="1:18" ht="15" customHeight="1">
      <c r="A30" s="94" t="s">
        <v>130</v>
      </c>
      <c r="B30" s="95" t="s">
        <v>131</v>
      </c>
      <c r="C30" s="95" t="s">
        <v>131</v>
      </c>
      <c r="D30" s="73" t="s">
        <v>104</v>
      </c>
      <c r="E30" s="95" t="s">
        <v>131</v>
      </c>
      <c r="F30" s="73" t="s">
        <v>104</v>
      </c>
      <c r="G30" s="95" t="s">
        <v>131</v>
      </c>
      <c r="H30" s="73" t="s">
        <v>104</v>
      </c>
      <c r="J30" s="37"/>
      <c r="L30" s="37"/>
      <c r="N30" s="37"/>
      <c r="P30" s="37"/>
    </row>
    <row r="31" spans="1:18" ht="15" customHeight="1">
      <c r="A31" s="85" t="s">
        <v>132</v>
      </c>
      <c r="B31" s="82">
        <v>80276212</v>
      </c>
      <c r="C31" s="82">
        <v>83558515.32176657</v>
      </c>
      <c r="D31" s="77">
        <f>IF(B31=0,"%",C31/B31-1)</f>
        <v>4.0887620877858133E-2</v>
      </c>
      <c r="E31" s="82">
        <v>88823937.666148841</v>
      </c>
      <c r="F31" s="77">
        <f>IF(C31=0,"%",E31/C31-1)</f>
        <v>6.3014790582458513E-2</v>
      </c>
      <c r="G31" s="82">
        <v>96467237.50232093</v>
      </c>
      <c r="H31" s="77">
        <f>IF(E31=0,"%",G31/E31-1)</f>
        <v>8.6049999999999738E-2</v>
      </c>
      <c r="J31" s="37"/>
      <c r="L31" s="37"/>
      <c r="N31" s="37"/>
      <c r="P31" s="37"/>
    </row>
    <row r="32" spans="1:18" ht="15" customHeight="1">
      <c r="A32" s="85" t="s">
        <v>133</v>
      </c>
      <c r="B32" s="82">
        <v>33626751</v>
      </c>
      <c r="C32" s="82">
        <v>34836484.479541734</v>
      </c>
      <c r="D32" s="77">
        <f t="shared" ref="D32:D34" si="7">IF(B32=0,"%",C32/B32-1)</f>
        <v>3.597533046061252E-2</v>
      </c>
      <c r="E32" s="82">
        <v>36971532.532560974</v>
      </c>
      <c r="F32" s="77">
        <f t="shared" ref="F32:H34" si="8">IF(C32=0,"%",E32/C32-1)</f>
        <v>6.1287701239574943E-2</v>
      </c>
      <c r="G32" s="82">
        <v>40152932.906987861</v>
      </c>
      <c r="H32" s="77">
        <f t="shared" si="8"/>
        <v>8.6050000000000404E-2</v>
      </c>
      <c r="J32" s="37"/>
      <c r="L32" s="37"/>
      <c r="N32" s="37"/>
      <c r="P32" s="37"/>
    </row>
    <row r="33" spans="1:16" ht="15" customHeight="1">
      <c r="A33" s="83" t="s">
        <v>134</v>
      </c>
      <c r="B33" s="84">
        <f>B32+B31</f>
        <v>113902963</v>
      </c>
      <c r="C33" s="84">
        <f>C32+C31</f>
        <v>118394999.8013083</v>
      </c>
      <c r="D33" s="77">
        <f t="shared" si="7"/>
        <v>3.9437400775151898E-2</v>
      </c>
      <c r="E33" s="84">
        <f t="shared" ref="E33:G33" si="9">E32+E31</f>
        <v>125795470.19870982</v>
      </c>
      <c r="F33" s="77">
        <f t="shared" si="8"/>
        <v>6.2506612693281394E-2</v>
      </c>
      <c r="G33" s="84">
        <f t="shared" si="9"/>
        <v>136620170.40930879</v>
      </c>
      <c r="H33" s="77">
        <f t="shared" si="8"/>
        <v>8.604999999999996E-2</v>
      </c>
      <c r="J33" s="37"/>
      <c r="L33" s="37"/>
      <c r="N33" s="37"/>
      <c r="P33" s="37"/>
    </row>
    <row r="34" spans="1:16" ht="15" customHeight="1">
      <c r="A34" s="96" t="s">
        <v>135</v>
      </c>
      <c r="B34" s="82">
        <v>255343875</v>
      </c>
      <c r="C34" s="82">
        <v>270204404.79375923</v>
      </c>
      <c r="D34" s="77">
        <f t="shared" si="7"/>
        <v>5.8198105569437386E-2</v>
      </c>
      <c r="E34" s="82">
        <v>282516360.6909343</v>
      </c>
      <c r="F34" s="77">
        <f>IF(C34=0,"%",E34/C34-1)</f>
        <v>4.5565341196315723E-2</v>
      </c>
      <c r="G34" s="82">
        <v>298445406.64890003</v>
      </c>
      <c r="H34" s="77">
        <f t="shared" si="8"/>
        <v>5.6382738043945446E-2</v>
      </c>
      <c r="J34" s="37"/>
      <c r="L34" s="37"/>
      <c r="N34" s="37"/>
      <c r="P34" s="37"/>
    </row>
    <row r="35" spans="1:16" ht="15" customHeight="1">
      <c r="A35" s="97"/>
      <c r="B35" s="92"/>
      <c r="C35" s="92"/>
      <c r="D35" s="98"/>
      <c r="E35" s="92"/>
      <c r="F35" s="98"/>
      <c r="G35" s="92"/>
      <c r="H35" s="98"/>
      <c r="J35" s="98"/>
      <c r="L35" s="98"/>
      <c r="N35" s="98"/>
      <c r="P35" s="98"/>
    </row>
    <row r="36" spans="1:16">
      <c r="B36" s="99"/>
    </row>
    <row r="37" spans="1:16">
      <c r="B37" s="101"/>
      <c r="C37" s="101"/>
      <c r="E37" s="101"/>
      <c r="G37" s="101"/>
      <c r="I37" s="101"/>
      <c r="K37" s="101"/>
      <c r="M37" s="101"/>
      <c r="O37" s="101"/>
    </row>
    <row r="38" spans="1:16">
      <c r="B38" s="99"/>
      <c r="C38" s="99"/>
      <c r="D38" s="99"/>
      <c r="E38" s="99"/>
      <c r="F38" s="99"/>
      <c r="G38" s="99"/>
      <c r="H38" s="99"/>
      <c r="I38" s="99"/>
      <c r="J38" s="99"/>
      <c r="K38" s="99"/>
      <c r="L38" s="99"/>
      <c r="M38" s="99"/>
      <c r="N38" s="99"/>
      <c r="O38" s="99"/>
    </row>
    <row r="39" spans="1:16">
      <c r="B39" s="99"/>
      <c r="C39" s="99"/>
      <c r="D39" s="99"/>
      <c r="E39" s="99"/>
      <c r="F39" s="99"/>
      <c r="G39" s="99"/>
      <c r="H39" s="99"/>
      <c r="I39" s="99"/>
      <c r="J39" s="99"/>
      <c r="K39" s="99"/>
      <c r="L39" s="99"/>
      <c r="M39" s="99"/>
      <c r="N39" s="99"/>
      <c r="O39" s="99"/>
    </row>
    <row r="40" spans="1:16">
      <c r="B40" s="99"/>
      <c r="C40" s="99"/>
      <c r="E40" s="99"/>
      <c r="G40" s="99"/>
      <c r="I40" s="99"/>
      <c r="K40" s="99"/>
      <c r="M40" s="99"/>
      <c r="O40" s="99"/>
    </row>
    <row r="41" spans="1:16">
      <c r="B41" s="101"/>
      <c r="C41" s="101"/>
      <c r="E41" s="101"/>
      <c r="G41" s="101"/>
      <c r="I41" s="101"/>
      <c r="K41" s="101"/>
      <c r="M41" s="101"/>
      <c r="O41" s="101"/>
    </row>
  </sheetData>
  <sheetProtection selectLockedCells="1"/>
  <mergeCells count="4">
    <mergeCell ref="A2:G2"/>
    <mergeCell ref="A3:G3"/>
    <mergeCell ref="I3:O3"/>
    <mergeCell ref="A4:A5"/>
  </mergeCells>
  <pageMargins left="0.5" right="0" top="0" bottom="0" header="0" footer="0.1"/>
  <pageSetup orientation="landscape" r:id="rId1"/>
  <headerFooter alignWithMargins="0">
    <oddFooter>&amp;L2017 Six-Year Plan - Finance-Tuition and Fees &amp;C&amp;P of &amp;N&amp;RSCHEV - 5/23/17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E37C-F5D5-49D7-A048-B354A33EE77F}">
  <dimension ref="A1:N111"/>
  <sheetViews>
    <sheetView zoomScale="80" zoomScaleNormal="80" workbookViewId="0">
      <selection activeCell="A3" sqref="A3:H3"/>
    </sheetView>
  </sheetViews>
  <sheetFormatPr defaultColWidth="9.140625" defaultRowHeight="12.6"/>
  <cols>
    <col min="1" max="1" width="31.140625" style="102" customWidth="1"/>
    <col min="2" max="2" width="20.5703125" style="102" customWidth="1"/>
    <col min="3" max="5" width="17.5703125" style="102" customWidth="1"/>
    <col min="6" max="7" width="15.5703125" style="102" customWidth="1"/>
    <col min="8" max="8" width="19.85546875" style="102" customWidth="1"/>
    <col min="9" max="9" width="15.5703125" style="103" customWidth="1"/>
    <col min="10" max="10" width="13.5703125" style="102" customWidth="1"/>
    <col min="11" max="11" width="15.5703125" style="102" bestFit="1" customWidth="1"/>
    <col min="12" max="13" width="9.140625" style="102"/>
    <col min="14" max="14" width="10.85546875" style="102" bestFit="1" customWidth="1"/>
    <col min="15" max="16384" width="9.140625" style="102"/>
  </cols>
  <sheetData>
    <row r="1" spans="1:11" ht="20.100000000000001" customHeight="1">
      <c r="A1" s="65" t="s">
        <v>136</v>
      </c>
      <c r="B1" s="65"/>
      <c r="C1" s="65"/>
      <c r="D1" s="65"/>
      <c r="E1" s="65"/>
    </row>
    <row r="2" spans="1:11" ht="20.100000000000001" customHeight="1">
      <c r="A2" s="414" t="str">
        <f>'Institution ID'!C3</f>
        <v>George Mason University</v>
      </c>
      <c r="B2" s="414"/>
      <c r="C2" s="414"/>
      <c r="D2" s="414"/>
      <c r="E2" s="414"/>
      <c r="I2" s="104"/>
    </row>
    <row r="3" spans="1:11" s="106" customFormat="1" ht="70.5" customHeight="1">
      <c r="A3" s="415" t="s">
        <v>137</v>
      </c>
      <c r="B3" s="416"/>
      <c r="C3" s="416"/>
      <c r="D3" s="416"/>
      <c r="E3" s="416"/>
      <c r="F3" s="416"/>
      <c r="G3" s="416"/>
      <c r="H3" s="416"/>
      <c r="I3" s="105"/>
    </row>
    <row r="4" spans="1:11" s="106" customFormat="1" ht="41.45" customHeight="1">
      <c r="A4" s="415" t="s">
        <v>138</v>
      </c>
      <c r="B4" s="416"/>
      <c r="C4" s="416"/>
      <c r="D4" s="416"/>
      <c r="E4" s="416"/>
      <c r="F4" s="416"/>
      <c r="G4" s="416"/>
      <c r="H4" s="416"/>
      <c r="I4" s="105"/>
    </row>
    <row r="5" spans="1:11" s="108" customFormat="1" ht="38.1" customHeight="1">
      <c r="A5" s="417" t="s">
        <v>139</v>
      </c>
      <c r="B5" s="418"/>
      <c r="C5" s="418"/>
      <c r="D5" s="418"/>
      <c r="E5" s="418"/>
      <c r="F5" s="418"/>
      <c r="G5" s="418"/>
      <c r="H5" s="418"/>
      <c r="I5" s="107"/>
    </row>
    <row r="6" spans="1:11" s="108" customFormat="1" ht="20.100000000000001" customHeight="1">
      <c r="A6" s="419" t="s">
        <v>140</v>
      </c>
      <c r="B6" s="420"/>
      <c r="C6" s="420"/>
      <c r="D6" s="420"/>
      <c r="E6" s="420"/>
      <c r="F6" s="420"/>
      <c r="G6" s="109"/>
      <c r="H6" s="109"/>
      <c r="I6" s="110"/>
    </row>
    <row r="7" spans="1:11" s="108" customFormat="1" ht="15" customHeight="1">
      <c r="A7" s="421" t="s">
        <v>141</v>
      </c>
      <c r="B7" s="421"/>
      <c r="C7" s="421"/>
      <c r="D7" s="421"/>
      <c r="E7" s="421"/>
      <c r="F7" s="421"/>
      <c r="G7" s="421"/>
      <c r="H7" s="421"/>
      <c r="I7" s="111"/>
    </row>
    <row r="8" spans="1:11" s="108" customFormat="1" ht="15" customHeight="1">
      <c r="A8" s="443" t="s">
        <v>142</v>
      </c>
      <c r="B8" s="429" t="s">
        <v>143</v>
      </c>
      <c r="C8" s="429" t="s">
        <v>144</v>
      </c>
      <c r="D8" s="433" t="s">
        <v>145</v>
      </c>
      <c r="E8" s="429" t="s">
        <v>146</v>
      </c>
      <c r="F8" s="429" t="s">
        <v>147</v>
      </c>
      <c r="G8" s="422" t="s">
        <v>148</v>
      </c>
      <c r="H8" s="423" t="s">
        <v>149</v>
      </c>
      <c r="I8" s="426" t="s">
        <v>150</v>
      </c>
    </row>
    <row r="9" spans="1:11" s="108" customFormat="1" ht="16.350000000000001" customHeight="1" thickBot="1">
      <c r="A9" s="443"/>
      <c r="B9" s="430"/>
      <c r="C9" s="430"/>
      <c r="D9" s="433"/>
      <c r="E9" s="430"/>
      <c r="F9" s="430"/>
      <c r="G9" s="423"/>
      <c r="H9" s="423"/>
      <c r="I9" s="427"/>
    </row>
    <row r="10" spans="1:11" s="108" customFormat="1" ht="16.350000000000001" customHeight="1">
      <c r="A10" s="443"/>
      <c r="B10" s="431"/>
      <c r="C10" s="431"/>
      <c r="D10" s="433"/>
      <c r="E10" s="431"/>
      <c r="F10" s="431"/>
      <c r="G10" s="424"/>
      <c r="H10" s="424"/>
      <c r="I10" s="427"/>
      <c r="J10" s="440" t="s">
        <v>151</v>
      </c>
      <c r="K10" s="436"/>
    </row>
    <row r="11" spans="1:11" s="108" customFormat="1" ht="28.35" customHeight="1" thickBot="1">
      <c r="A11" s="444"/>
      <c r="B11" s="432"/>
      <c r="C11" s="432"/>
      <c r="D11" s="434"/>
      <c r="E11" s="432"/>
      <c r="F11" s="432"/>
      <c r="G11" s="425"/>
      <c r="H11" s="425"/>
      <c r="I11" s="428"/>
      <c r="J11" s="441" t="s">
        <v>152</v>
      </c>
      <c r="K11" s="438"/>
    </row>
    <row r="12" spans="1:11" s="108" customFormat="1" ht="16.350000000000001" customHeight="1">
      <c r="A12" s="112" t="s">
        <v>110</v>
      </c>
      <c r="B12" s="113">
        <f>+'2-Revenue'!B7*1</f>
        <v>188483012.03451306</v>
      </c>
      <c r="C12" s="114">
        <v>3048952.4884363338</v>
      </c>
      <c r="D12" s="115">
        <f t="shared" ref="D12:D18" si="0">IF(C12=0,"%",C12/B12)</f>
        <v>1.6176272097551375E-2</v>
      </c>
      <c r="E12" s="114">
        <f>+C12</f>
        <v>3048952.4884363338</v>
      </c>
      <c r="F12" s="114">
        <v>14220579.399999999</v>
      </c>
      <c r="G12" s="116">
        <v>12670911.006365687</v>
      </c>
      <c r="H12" s="117">
        <f>B12+F12+G12</f>
        <v>215374502.44087875</v>
      </c>
      <c r="I12" s="118">
        <f>IF(H12=0,"%",(F12+G12)/H12)</f>
        <v>0.12485921082393454</v>
      </c>
      <c r="J12" s="119">
        <f>(C12+C14+C16)-(E12+E14+E16)</f>
        <v>0</v>
      </c>
      <c r="K12" s="120" t="str">
        <f>IF(J12&gt;0,"WARNING: IS subsidizing OS","Compliant")</f>
        <v>Compliant</v>
      </c>
    </row>
    <row r="13" spans="1:11" s="108" customFormat="1" ht="15" customHeight="1">
      <c r="A13" s="121" t="s">
        <v>111</v>
      </c>
      <c r="B13" s="122">
        <f>+'2-Revenue'!B8*1</f>
        <v>150506880.35586742</v>
      </c>
      <c r="C13" s="114">
        <v>29345340</v>
      </c>
      <c r="D13" s="115">
        <f t="shared" si="0"/>
        <v>0.194976734157363</v>
      </c>
      <c r="E13" s="114">
        <f>+C13</f>
        <v>29345340</v>
      </c>
      <c r="F13" s="114">
        <v>3121590.6</v>
      </c>
      <c r="G13" s="116">
        <v>687664.36941992131</v>
      </c>
      <c r="H13" s="123">
        <f t="shared" ref="H13:H17" si="1">B13+F13+G13</f>
        <v>154316135.32528734</v>
      </c>
      <c r="I13" s="118">
        <f t="shared" ref="I13:I18" si="2">IF(H13=0,"%",(F13+G13)/H13)</f>
        <v>2.4684748366658387E-2</v>
      </c>
    </row>
    <row r="14" spans="1:11" s="108" customFormat="1" ht="15" customHeight="1">
      <c r="A14" s="121" t="s">
        <v>112</v>
      </c>
      <c r="B14" s="122">
        <f>+'2-Revenue'!B9*1</f>
        <v>44986666.936816484</v>
      </c>
      <c r="C14" s="114">
        <v>0</v>
      </c>
      <c r="D14" s="115" t="str">
        <f t="shared" si="0"/>
        <v>%</v>
      </c>
      <c r="E14" s="114">
        <v>0</v>
      </c>
      <c r="F14" s="114">
        <v>4925872.549106637</v>
      </c>
      <c r="G14" s="116">
        <v>5448636.3225595597</v>
      </c>
      <c r="H14" s="123">
        <f t="shared" si="1"/>
        <v>55361175.808482677</v>
      </c>
      <c r="I14" s="118">
        <f t="shared" si="2"/>
        <v>0.18739683036277871</v>
      </c>
    </row>
    <row r="15" spans="1:11" s="108" customFormat="1" ht="15" customHeight="1">
      <c r="A15" s="121" t="s">
        <v>113</v>
      </c>
      <c r="B15" s="122">
        <f>+'2-Revenue'!B10*1</f>
        <v>77656621.832964003</v>
      </c>
      <c r="C15" s="114">
        <f>0</f>
        <v>0</v>
      </c>
      <c r="D15" s="115" t="str">
        <f t="shared" si="0"/>
        <v>%</v>
      </c>
      <c r="E15" s="114">
        <f>0</f>
        <v>0</v>
      </c>
      <c r="F15" s="114">
        <v>12355422.083608294</v>
      </c>
      <c r="G15" s="116">
        <v>280844.03165483708</v>
      </c>
      <c r="H15" s="123">
        <f t="shared" si="1"/>
        <v>90292887.948227137</v>
      </c>
      <c r="I15" s="118">
        <f>IF(H15=0,"%",(F15+G15)/H15)</f>
        <v>0.13994752413400061</v>
      </c>
    </row>
    <row r="16" spans="1:11" s="108" customFormat="1" ht="15" customHeight="1">
      <c r="A16" s="121" t="s">
        <v>153</v>
      </c>
      <c r="B16" s="122">
        <f>+SUM('2-Revenue'!B11+'2-Revenue'!B13+'2-Revenue'!B15+'2-Revenue'!B17+'2-Revenue'!B19)*1</f>
        <v>7068138.9413581518</v>
      </c>
      <c r="C16" s="114">
        <v>0</v>
      </c>
      <c r="D16" s="115" t="str">
        <f t="shared" si="0"/>
        <v>%</v>
      </c>
      <c r="E16" s="114">
        <v>0</v>
      </c>
      <c r="F16" s="114">
        <v>372926.40089336323</v>
      </c>
      <c r="G16" s="116">
        <v>0</v>
      </c>
      <c r="H16" s="123">
        <f t="shared" si="1"/>
        <v>7441065.342251515</v>
      </c>
      <c r="I16" s="118">
        <f t="shared" si="2"/>
        <v>5.0117339888930919E-2</v>
      </c>
    </row>
    <row r="17" spans="1:11" s="108" customFormat="1" ht="15" customHeight="1" thickBot="1">
      <c r="A17" s="124" t="s">
        <v>154</v>
      </c>
      <c r="B17" s="122">
        <f>+SUM('2-Revenue'!B12+'2-Revenue'!B14+'2-Revenue'!B16+'2-Revenue'!B18+'2-Revenue'!B20)*1</f>
        <v>20688679.155575961</v>
      </c>
      <c r="C17" s="114">
        <f>0</f>
        <v>0</v>
      </c>
      <c r="D17" s="125" t="str">
        <f t="shared" si="0"/>
        <v>%</v>
      </c>
      <c r="E17" s="114">
        <f>0</f>
        <v>0</v>
      </c>
      <c r="F17" s="114">
        <v>2874409.2363917069</v>
      </c>
      <c r="G17" s="116">
        <v>0</v>
      </c>
      <c r="H17" s="126">
        <f t="shared" si="1"/>
        <v>23563088.391967669</v>
      </c>
      <c r="I17" s="118">
        <f t="shared" si="2"/>
        <v>0.12198779670034907</v>
      </c>
    </row>
    <row r="18" spans="1:11" s="108" customFormat="1" ht="15" customHeight="1" thickBot="1">
      <c r="A18" s="127" t="s">
        <v>155</v>
      </c>
      <c r="B18" s="128">
        <f>SUM(B12:B17)</f>
        <v>489389999.2570951</v>
      </c>
      <c r="C18" s="128">
        <f t="shared" ref="C18:H18" si="3">SUM(C12:C17)</f>
        <v>32394292.488436334</v>
      </c>
      <c r="D18" s="129">
        <f t="shared" si="0"/>
        <v>6.6193204882836976E-2</v>
      </c>
      <c r="E18" s="128">
        <f t="shared" si="3"/>
        <v>32394292.488436334</v>
      </c>
      <c r="F18" s="128">
        <f t="shared" si="3"/>
        <v>37870800.269999996</v>
      </c>
      <c r="G18" s="128">
        <f t="shared" si="3"/>
        <v>19088055.730000008</v>
      </c>
      <c r="H18" s="130">
        <f t="shared" si="3"/>
        <v>546348855.2570951</v>
      </c>
      <c r="I18" s="131">
        <f t="shared" si="2"/>
        <v>0.1042536384069056</v>
      </c>
    </row>
    <row r="19" spans="1:11" s="108" customFormat="1" ht="15" customHeight="1">
      <c r="A19" s="442"/>
      <c r="B19" s="442"/>
      <c r="C19" s="442"/>
      <c r="D19" s="442"/>
      <c r="E19" s="442"/>
      <c r="F19" s="132"/>
      <c r="I19" s="133"/>
      <c r="K19" s="134"/>
    </row>
    <row r="20" spans="1:11" s="108" customFormat="1" ht="15" customHeight="1">
      <c r="A20" s="421" t="s">
        <v>156</v>
      </c>
      <c r="B20" s="421"/>
      <c r="C20" s="421"/>
      <c r="D20" s="421"/>
      <c r="E20" s="421"/>
      <c r="F20" s="421"/>
      <c r="G20" s="421"/>
      <c r="H20" s="421"/>
      <c r="I20" s="111"/>
    </row>
    <row r="21" spans="1:11" ht="15" customHeight="1">
      <c r="A21" s="443" t="s">
        <v>142</v>
      </c>
      <c r="B21" s="429" t="s">
        <v>143</v>
      </c>
      <c r="C21" s="429" t="s">
        <v>144</v>
      </c>
      <c r="D21" s="433" t="s">
        <v>145</v>
      </c>
      <c r="E21" s="429" t="s">
        <v>146</v>
      </c>
      <c r="F21" s="429" t="s">
        <v>147</v>
      </c>
      <c r="G21" s="429" t="s">
        <v>148</v>
      </c>
      <c r="H21" s="430" t="s">
        <v>149</v>
      </c>
      <c r="I21" s="426" t="s">
        <v>150</v>
      </c>
    </row>
    <row r="22" spans="1:11" s="108" customFormat="1" ht="15" customHeight="1" thickBot="1">
      <c r="A22" s="443"/>
      <c r="B22" s="430"/>
      <c r="C22" s="430"/>
      <c r="D22" s="433"/>
      <c r="E22" s="430"/>
      <c r="F22" s="430"/>
      <c r="G22" s="430"/>
      <c r="H22" s="430"/>
      <c r="I22" s="427"/>
    </row>
    <row r="23" spans="1:11" s="108" customFormat="1" ht="16.350000000000001" customHeight="1">
      <c r="A23" s="443"/>
      <c r="B23" s="431"/>
      <c r="C23" s="431"/>
      <c r="D23" s="433"/>
      <c r="E23" s="431"/>
      <c r="F23" s="431"/>
      <c r="G23" s="431"/>
      <c r="H23" s="431"/>
      <c r="I23" s="427"/>
      <c r="J23" s="435" t="s">
        <v>151</v>
      </c>
      <c r="K23" s="436"/>
    </row>
    <row r="24" spans="1:11" s="108" customFormat="1" ht="32.450000000000003" customHeight="1" thickBot="1">
      <c r="A24" s="444"/>
      <c r="B24" s="432"/>
      <c r="C24" s="432"/>
      <c r="D24" s="434"/>
      <c r="E24" s="432"/>
      <c r="F24" s="432"/>
      <c r="G24" s="432"/>
      <c r="H24" s="432"/>
      <c r="I24" s="428"/>
      <c r="J24" s="437" t="s">
        <v>152</v>
      </c>
      <c r="K24" s="438"/>
    </row>
    <row r="25" spans="1:11" s="108" customFormat="1" ht="16.350000000000001" customHeight="1">
      <c r="A25" s="112" t="s">
        <v>110</v>
      </c>
      <c r="B25" s="113">
        <f>+'2-Revenue'!C7*1</f>
        <v>193081393.98218232</v>
      </c>
      <c r="C25" s="135">
        <v>3925326.2972459127</v>
      </c>
      <c r="D25" s="115">
        <f t="shared" ref="D25:D31" si="4">IF(C25=0,"%",C25/B25)</f>
        <v>2.0329904483744013E-2</v>
      </c>
      <c r="E25" s="114">
        <f>+C25</f>
        <v>3925326.2972459127</v>
      </c>
      <c r="F25" s="114">
        <v>14504990.987999998</v>
      </c>
      <c r="G25" s="114">
        <v>14145060.359383438</v>
      </c>
      <c r="H25" s="136">
        <f>B25+F25+G25</f>
        <v>221731445.32956576</v>
      </c>
      <c r="I25" s="118">
        <f>IF(H25=0,"%",(F25+G25)/H25)</f>
        <v>0.12921059214131783</v>
      </c>
      <c r="J25" s="119">
        <f>(C25+C27+C29)-(E25+E27+E29)</f>
        <v>0</v>
      </c>
      <c r="K25" s="120" t="str">
        <f>IF(J25&gt;0,"WARNING: IS subsidizing OS","Compliant")</f>
        <v>Compliant</v>
      </c>
    </row>
    <row r="26" spans="1:11" s="108" customFormat="1" ht="16.350000000000001" customHeight="1">
      <c r="A26" s="121" t="s">
        <v>111</v>
      </c>
      <c r="B26" s="122">
        <f>+'2-Revenue'!C8*1</f>
        <v>157844001.71382597</v>
      </c>
      <c r="C26" s="135">
        <v>37774673.702754088</v>
      </c>
      <c r="D26" s="115">
        <f t="shared" si="4"/>
        <v>0.23931649788783393</v>
      </c>
      <c r="E26" s="114">
        <f>+C26</f>
        <v>37774673.702754088</v>
      </c>
      <c r="F26" s="114">
        <v>3184022.4119999995</v>
      </c>
      <c r="G26" s="114">
        <v>760214.99874841853</v>
      </c>
      <c r="H26" s="137">
        <f t="shared" ref="H26:H30" si="5">B26+F26+G26</f>
        <v>161788239.12457439</v>
      </c>
      <c r="I26" s="118">
        <f t="shared" ref="I26:I31" si="6">IF(H26=0,"%",(F26+G26)/H26)</f>
        <v>2.4379011923798845E-2</v>
      </c>
    </row>
    <row r="27" spans="1:11" s="108" customFormat="1" ht="15" customHeight="1">
      <c r="A27" s="121" t="s">
        <v>112</v>
      </c>
      <c r="B27" s="122">
        <f>+'2-Revenue'!C9*1</f>
        <v>43036178.744193226</v>
      </c>
      <c r="C27" s="114">
        <f>0</f>
        <v>0</v>
      </c>
      <c r="D27" s="115" t="str">
        <f t="shared" si="4"/>
        <v>%</v>
      </c>
      <c r="E27" s="114">
        <f>0</f>
        <v>0</v>
      </c>
      <c r="F27" s="114">
        <v>5001779.6868070224</v>
      </c>
      <c r="G27" s="114">
        <v>6023483.6052786876</v>
      </c>
      <c r="H27" s="137">
        <f t="shared" si="5"/>
        <v>54061442.036278933</v>
      </c>
      <c r="I27" s="118">
        <f t="shared" si="6"/>
        <v>0.20393949692808794</v>
      </c>
    </row>
    <row r="28" spans="1:11" s="108" customFormat="1" ht="15" customHeight="1">
      <c r="A28" s="121" t="s">
        <v>113</v>
      </c>
      <c r="B28" s="122">
        <f>+'2-Revenue'!C10*1</f>
        <v>88741782.721529961</v>
      </c>
      <c r="C28" s="114">
        <f>0</f>
        <v>0</v>
      </c>
      <c r="D28" s="115" t="str">
        <f t="shared" si="4"/>
        <v>%</v>
      </c>
      <c r="E28" s="114">
        <f>0</f>
        <v>0</v>
      </c>
      <c r="F28" s="114">
        <v>12751939.574151648</v>
      </c>
      <c r="G28" s="114">
        <v>310473.90946412145</v>
      </c>
      <c r="H28" s="137">
        <f t="shared" si="5"/>
        <v>101804196.20514573</v>
      </c>
      <c r="I28" s="118">
        <f t="shared" si="6"/>
        <v>0.12830918538263086</v>
      </c>
    </row>
    <row r="29" spans="1:11" s="108" customFormat="1" ht="15" customHeight="1">
      <c r="A29" s="121" t="s">
        <v>153</v>
      </c>
      <c r="B29" s="122">
        <f>+SUM('2-Revenue'!C11+'2-Revenue'!C13+'2-Revenue'!C15+'2-Revenue'!C17+'2-Revenue'!C19)*1</f>
        <v>7235268.4698507776</v>
      </c>
      <c r="C29" s="114">
        <f>0</f>
        <v>0</v>
      </c>
      <c r="D29" s="115" t="str">
        <f t="shared" si="4"/>
        <v>%</v>
      </c>
      <c r="E29" s="114">
        <f>0</f>
        <v>0</v>
      </c>
      <c r="F29" s="114">
        <v>402995.24219297769</v>
      </c>
      <c r="G29" s="114">
        <v>0</v>
      </c>
      <c r="H29" s="137">
        <f t="shared" si="5"/>
        <v>7638263.7120437557</v>
      </c>
      <c r="I29" s="118">
        <f t="shared" si="6"/>
        <v>5.2760058749680039E-2</v>
      </c>
    </row>
    <row r="30" spans="1:11" s="108" customFormat="1" ht="15" customHeight="1" thickBot="1">
      <c r="A30" s="124" t="s">
        <v>154</v>
      </c>
      <c r="B30" s="122">
        <f>+SUM('2-Revenue'!C12+'2-Revenue'!C14+'2-Revenue'!C16+'2-Revenue'!C18+'2-Revenue'!C20)*1</f>
        <v>22190041.33850237</v>
      </c>
      <c r="C30" s="114">
        <f>0</f>
        <v>0</v>
      </c>
      <c r="D30" s="125" t="str">
        <f t="shared" si="4"/>
        <v>%</v>
      </c>
      <c r="E30" s="114">
        <f>0</f>
        <v>0</v>
      </c>
      <c r="F30" s="114">
        <v>2782488.372248353</v>
      </c>
      <c r="G30" s="114">
        <v>0</v>
      </c>
      <c r="H30" s="138">
        <f t="shared" si="5"/>
        <v>24972529.710750721</v>
      </c>
      <c r="I30" s="118">
        <f t="shared" si="6"/>
        <v>0.11142196663602272</v>
      </c>
    </row>
    <row r="31" spans="1:11" s="108" customFormat="1" ht="15" customHeight="1" thickBot="1">
      <c r="A31" s="127" t="s">
        <v>155</v>
      </c>
      <c r="B31" s="139">
        <f>SUM(B25:B30)</f>
        <v>512128666.97008461</v>
      </c>
      <c r="C31" s="139">
        <f t="shared" ref="C31:H31" si="7">SUM(C25:C30)</f>
        <v>41700000</v>
      </c>
      <c r="D31" s="129">
        <f t="shared" si="4"/>
        <v>8.1424850217251862E-2</v>
      </c>
      <c r="E31" s="139">
        <f t="shared" si="7"/>
        <v>41700000</v>
      </c>
      <c r="F31" s="128">
        <f t="shared" si="7"/>
        <v>38628216.275399998</v>
      </c>
      <c r="G31" s="128">
        <f t="shared" si="7"/>
        <v>21239232.872874662</v>
      </c>
      <c r="H31" s="140">
        <f t="shared" si="7"/>
        <v>571996116.11835933</v>
      </c>
      <c r="I31" s="131">
        <f t="shared" si="6"/>
        <v>0.10466408330626967</v>
      </c>
    </row>
    <row r="32" spans="1:11" s="108" customFormat="1" ht="15" customHeight="1">
      <c r="A32" s="445"/>
      <c r="B32" s="445"/>
      <c r="C32" s="445"/>
      <c r="D32" s="445"/>
      <c r="E32" s="445"/>
      <c r="F32" s="141"/>
      <c r="I32" s="142"/>
      <c r="J32" s="133"/>
    </row>
    <row r="33" spans="1:14" s="108" customFormat="1" ht="15" customHeight="1">
      <c r="A33" s="421" t="s">
        <v>157</v>
      </c>
      <c r="B33" s="421"/>
      <c r="C33" s="421"/>
      <c r="D33" s="421"/>
      <c r="E33" s="421"/>
      <c r="F33" s="421"/>
      <c r="G33" s="421"/>
      <c r="H33" s="421"/>
      <c r="I33" s="111"/>
    </row>
    <row r="34" spans="1:14" ht="15" customHeight="1">
      <c r="A34" s="443" t="s">
        <v>142</v>
      </c>
      <c r="B34" s="429" t="s">
        <v>143</v>
      </c>
      <c r="C34" s="429" t="s">
        <v>144</v>
      </c>
      <c r="D34" s="433" t="s">
        <v>145</v>
      </c>
      <c r="E34" s="429" t="s">
        <v>146</v>
      </c>
      <c r="F34" s="429" t="s">
        <v>147</v>
      </c>
      <c r="G34" s="429" t="s">
        <v>148</v>
      </c>
      <c r="H34" s="430" t="s">
        <v>149</v>
      </c>
      <c r="I34" s="426" t="s">
        <v>150</v>
      </c>
    </row>
    <row r="35" spans="1:14" ht="12.6" customHeight="1" thickBot="1">
      <c r="A35" s="443"/>
      <c r="B35" s="430"/>
      <c r="C35" s="430"/>
      <c r="D35" s="433"/>
      <c r="E35" s="430"/>
      <c r="F35" s="430"/>
      <c r="G35" s="430"/>
      <c r="H35" s="430"/>
      <c r="I35" s="427"/>
      <c r="J35" s="108"/>
    </row>
    <row r="36" spans="1:14" s="108" customFormat="1" ht="15" customHeight="1">
      <c r="A36" s="443"/>
      <c r="B36" s="431"/>
      <c r="C36" s="431"/>
      <c r="D36" s="433"/>
      <c r="E36" s="431"/>
      <c r="F36" s="431"/>
      <c r="G36" s="431"/>
      <c r="H36" s="431"/>
      <c r="I36" s="427"/>
      <c r="J36" s="435" t="s">
        <v>151</v>
      </c>
      <c r="K36" s="436"/>
    </row>
    <row r="37" spans="1:14" s="108" customFormat="1" ht="16.350000000000001" customHeight="1" thickBot="1">
      <c r="A37" s="444"/>
      <c r="B37" s="432"/>
      <c r="C37" s="432"/>
      <c r="D37" s="434"/>
      <c r="E37" s="432"/>
      <c r="F37" s="432"/>
      <c r="G37" s="432"/>
      <c r="H37" s="432"/>
      <c r="I37" s="428"/>
      <c r="J37" s="437" t="s">
        <v>152</v>
      </c>
      <c r="K37" s="438"/>
    </row>
    <row r="38" spans="1:14" s="108" customFormat="1" ht="16.350000000000001" customHeight="1">
      <c r="A38" s="112" t="s">
        <v>110</v>
      </c>
      <c r="B38" s="113">
        <f>+'2-Revenue'!E7*1</f>
        <v>202353687.49959546</v>
      </c>
      <c r="C38" s="135">
        <v>4121592.6121082082</v>
      </c>
      <c r="D38" s="115">
        <f t="shared" ref="D38:D44" si="8">IF(C38=0,"%",C38/B38)</f>
        <v>2.0368260460370647E-2</v>
      </c>
      <c r="E38" s="114">
        <f>+C38</f>
        <v>4121592.6121082082</v>
      </c>
      <c r="F38" s="114">
        <v>15230240.5374</v>
      </c>
      <c r="G38" s="114">
        <v>18129903.598220672</v>
      </c>
      <c r="H38" s="136">
        <f>B38+F38+G38</f>
        <v>235713831.63521615</v>
      </c>
      <c r="I38" s="118">
        <f>IF(H38=0,"%",(F38+G38)/H38)</f>
        <v>0.14152815685100678</v>
      </c>
      <c r="J38" s="119">
        <f>(C38+C40+C42)-(E38+E40+E42)</f>
        <v>0</v>
      </c>
      <c r="K38" s="120" t="str">
        <f>IF(J38&gt;0,"WARNING: IS subsidizing OS","Compliant")</f>
        <v>Compliant</v>
      </c>
    </row>
    <row r="39" spans="1:14" s="108" customFormat="1" ht="16.350000000000001" customHeight="1">
      <c r="A39" s="121" t="s">
        <v>111</v>
      </c>
      <c r="B39" s="143">
        <f>+'2-Revenue'!E8*1</f>
        <v>167640241.34997702</v>
      </c>
      <c r="C39" s="135">
        <v>39663407.387891792</v>
      </c>
      <c r="D39" s="115">
        <f t="shared" si="8"/>
        <v>0.23659836724457942</v>
      </c>
      <c r="E39" s="114">
        <f>+C39</f>
        <v>39663407.387891792</v>
      </c>
      <c r="F39" s="114">
        <v>3343223.5326</v>
      </c>
      <c r="G39" s="114">
        <v>1003035.3772789465</v>
      </c>
      <c r="H39" s="137">
        <f t="shared" ref="H39:H43" si="9">B39+F39+G39</f>
        <v>171986500.25985596</v>
      </c>
      <c r="I39" s="118">
        <f t="shared" ref="I39:I44" si="10">IF(H39=0,"%",(F39+G39)/H39)</f>
        <v>2.5270930586482922E-2</v>
      </c>
    </row>
    <row r="40" spans="1:14" s="108" customFormat="1" ht="16.350000000000001" customHeight="1">
      <c r="A40" s="121" t="s">
        <v>112</v>
      </c>
      <c r="B40" s="143">
        <f>+'2-Revenue'!E9*1</f>
        <v>44260088.733486205</v>
      </c>
      <c r="C40" s="114">
        <f>0</f>
        <v>0</v>
      </c>
      <c r="D40" s="115" t="str">
        <f t="shared" si="8"/>
        <v>%</v>
      </c>
      <c r="E40" s="114">
        <f>0</f>
        <v>0</v>
      </c>
      <c r="F40" s="114">
        <v>5251990.0499290209</v>
      </c>
      <c r="G40" s="114">
        <v>7947445.3417798029</v>
      </c>
      <c r="H40" s="137">
        <f t="shared" si="9"/>
        <v>57459524.125195034</v>
      </c>
      <c r="I40" s="118">
        <f t="shared" si="10"/>
        <v>0.2297171024763342</v>
      </c>
      <c r="N40" s="144"/>
    </row>
    <row r="41" spans="1:14" s="108" customFormat="1" ht="15" customHeight="1">
      <c r="A41" s="121" t="s">
        <v>113</v>
      </c>
      <c r="B41" s="143">
        <f>+'2-Revenue'!E10*1</f>
        <v>94450275.721054718</v>
      </c>
      <c r="C41" s="114">
        <f>0</f>
        <v>0</v>
      </c>
      <c r="D41" s="115" t="str">
        <f t="shared" si="8"/>
        <v>%</v>
      </c>
      <c r="E41" s="114">
        <f>0</f>
        <v>0</v>
      </c>
      <c r="F41" s="114">
        <v>13390467.277247241</v>
      </c>
      <c r="G41" s="114">
        <v>409642.42408702197</v>
      </c>
      <c r="H41" s="137">
        <f t="shared" si="9"/>
        <v>108250385.42238897</v>
      </c>
      <c r="I41" s="118">
        <f t="shared" si="10"/>
        <v>0.12748323848905246</v>
      </c>
    </row>
    <row r="42" spans="1:14" s="108" customFormat="1" ht="15" customHeight="1">
      <c r="A42" s="121" t="s">
        <v>153</v>
      </c>
      <c r="B42" s="122">
        <f>+SUM('2-Revenue'!E11+'2-Revenue'!E13+'2-Revenue'!E15+'2-Revenue'!E17+'2-Revenue'!E19)*1</f>
        <v>7694016.0080732983</v>
      </c>
      <c r="C42" s="114">
        <f>0</f>
        <v>0</v>
      </c>
      <c r="D42" s="115" t="str">
        <f t="shared" si="8"/>
        <v>%</v>
      </c>
      <c r="E42" s="114">
        <f>0</f>
        <v>0</v>
      </c>
      <c r="F42" s="114">
        <v>423023.62552098068</v>
      </c>
      <c r="G42" s="114">
        <v>0</v>
      </c>
      <c r="H42" s="137">
        <f t="shared" si="9"/>
        <v>8117039.6335942792</v>
      </c>
      <c r="I42" s="118">
        <f t="shared" si="10"/>
        <v>5.2115505728245783E-2</v>
      </c>
    </row>
    <row r="43" spans="1:14" s="108" customFormat="1" ht="15" customHeight="1" thickBot="1">
      <c r="A43" s="124" t="s">
        <v>154</v>
      </c>
      <c r="B43" s="122">
        <f>+SUM('2-Revenue'!E12+'2-Revenue'!E14+'2-Revenue'!E16+'2-Revenue'!E18+'2-Revenue'!E20)*1</f>
        <v>23619331.32552667</v>
      </c>
      <c r="C43" s="114">
        <f>0</f>
        <v>0</v>
      </c>
      <c r="D43" s="115" t="str">
        <f t="shared" si="8"/>
        <v>%</v>
      </c>
      <c r="E43" s="114">
        <f>0</f>
        <v>0</v>
      </c>
      <c r="F43" s="114">
        <v>2920682.0664727599</v>
      </c>
      <c r="G43" s="114">
        <v>0</v>
      </c>
      <c r="H43" s="138">
        <f t="shared" si="9"/>
        <v>26540013.391999431</v>
      </c>
      <c r="I43" s="118">
        <f t="shared" si="10"/>
        <v>0.11004825142074753</v>
      </c>
    </row>
    <row r="44" spans="1:14" s="108" customFormat="1" ht="15" customHeight="1" thickBot="1">
      <c r="A44" s="127" t="s">
        <v>155</v>
      </c>
      <c r="B44" s="139">
        <f>SUM(B38:B43)</f>
        <v>540017640.63771343</v>
      </c>
      <c r="C44" s="139">
        <f t="shared" ref="C44:H44" si="11">SUM(C38:C43)</f>
        <v>43785000</v>
      </c>
      <c r="D44" s="129">
        <f t="shared" si="8"/>
        <v>8.1080684601884043E-2</v>
      </c>
      <c r="E44" s="139">
        <f t="shared" si="11"/>
        <v>43785000</v>
      </c>
      <c r="F44" s="128">
        <f t="shared" si="11"/>
        <v>40559627.089170009</v>
      </c>
      <c r="G44" s="128">
        <f t="shared" si="11"/>
        <v>27490026.741366442</v>
      </c>
      <c r="H44" s="140">
        <f t="shared" si="11"/>
        <v>608067294.4682498</v>
      </c>
      <c r="I44" s="131">
        <f t="shared" si="10"/>
        <v>0.11191138620610298</v>
      </c>
    </row>
    <row r="45" spans="1:14" s="108" customFormat="1" ht="15" customHeight="1">
      <c r="A45" s="439"/>
      <c r="B45" s="439"/>
      <c r="C45" s="439"/>
      <c r="D45" s="439"/>
      <c r="E45" s="439"/>
      <c r="F45" s="141"/>
      <c r="H45" s="144"/>
      <c r="I45" s="142"/>
      <c r="J45" s="133"/>
      <c r="K45" s="134"/>
    </row>
    <row r="46" spans="1:14" s="108" customFormat="1" ht="15" customHeight="1">
      <c r="A46" s="421" t="s">
        <v>158</v>
      </c>
      <c r="B46" s="421"/>
      <c r="C46" s="421"/>
      <c r="D46" s="421"/>
      <c r="E46" s="421"/>
      <c r="F46" s="421"/>
      <c r="G46" s="421"/>
      <c r="H46" s="421"/>
      <c r="I46" s="111"/>
    </row>
    <row r="47" spans="1:14" ht="15" customHeight="1">
      <c r="A47" s="443" t="s">
        <v>142</v>
      </c>
      <c r="B47" s="429" t="s">
        <v>143</v>
      </c>
      <c r="C47" s="429" t="s">
        <v>144</v>
      </c>
      <c r="D47" s="433" t="s">
        <v>145</v>
      </c>
      <c r="E47" s="429" t="s">
        <v>146</v>
      </c>
      <c r="F47" s="429" t="s">
        <v>147</v>
      </c>
      <c r="G47" s="429" t="s">
        <v>148</v>
      </c>
      <c r="H47" s="430" t="s">
        <v>149</v>
      </c>
      <c r="I47" s="426" t="s">
        <v>150</v>
      </c>
    </row>
    <row r="48" spans="1:14" ht="15" customHeight="1" thickBot="1">
      <c r="A48" s="443"/>
      <c r="B48" s="430"/>
      <c r="C48" s="430"/>
      <c r="D48" s="433"/>
      <c r="E48" s="430"/>
      <c r="F48" s="430"/>
      <c r="G48" s="430"/>
      <c r="H48" s="430"/>
      <c r="I48" s="427"/>
      <c r="J48" s="108"/>
    </row>
    <row r="49" spans="1:14" ht="15" customHeight="1">
      <c r="A49" s="443"/>
      <c r="B49" s="431"/>
      <c r="C49" s="431"/>
      <c r="D49" s="433"/>
      <c r="E49" s="431"/>
      <c r="F49" s="431"/>
      <c r="G49" s="431"/>
      <c r="H49" s="431"/>
      <c r="I49" s="427"/>
      <c r="J49" s="435" t="s">
        <v>151</v>
      </c>
      <c r="K49" s="436"/>
    </row>
    <row r="50" spans="1:14" ht="15" customHeight="1" thickBot="1">
      <c r="A50" s="444"/>
      <c r="B50" s="432"/>
      <c r="C50" s="432"/>
      <c r="D50" s="434"/>
      <c r="E50" s="432"/>
      <c r="F50" s="432"/>
      <c r="G50" s="432"/>
      <c r="H50" s="432"/>
      <c r="I50" s="428"/>
      <c r="J50" s="437" t="s">
        <v>152</v>
      </c>
      <c r="K50" s="438"/>
    </row>
    <row r="51" spans="1:14" ht="15.6">
      <c r="A51" s="112" t="s">
        <v>110</v>
      </c>
      <c r="B51" s="113">
        <f>+'2-Revenue'!G7*1</f>
        <v>212069506.28675306</v>
      </c>
      <c r="C51" s="135">
        <v>4327672.242713619</v>
      </c>
      <c r="D51" s="115">
        <f t="shared" ref="D51:D57" si="12">IF(C51=0,"%",C51/B51)</f>
        <v>2.0406857725513306E-2</v>
      </c>
      <c r="E51" s="114">
        <f>+C51</f>
        <v>4327672.242713619</v>
      </c>
      <c r="F51" s="114">
        <v>15991752.564269999</v>
      </c>
      <c r="G51" s="114">
        <v>22543467.890836447</v>
      </c>
      <c r="H51" s="136">
        <f>B51+F51+G51</f>
        <v>250604726.7418595</v>
      </c>
      <c r="I51" s="118">
        <f>IF(H51=0,"%",(F51+G51)/H51)</f>
        <v>0.15376892908648301</v>
      </c>
      <c r="J51" s="119">
        <f>(C51+C53+C55)-(E51+E53+E55)</f>
        <v>0</v>
      </c>
      <c r="K51" s="120" t="str">
        <f>IF(J51&gt;0,"WARNING: IS subsidizing OS","Compliant")</f>
        <v>Compliant</v>
      </c>
    </row>
    <row r="52" spans="1:14" ht="15.6">
      <c r="A52" s="121" t="s">
        <v>111</v>
      </c>
      <c r="B52" s="143">
        <f>+'2-Revenue'!G8*1</f>
        <v>178101888.83736855</v>
      </c>
      <c r="C52" s="135">
        <v>41646577.757286377</v>
      </c>
      <c r="D52" s="115">
        <f t="shared" si="12"/>
        <v>0.23383568826333681</v>
      </c>
      <c r="E52" s="114">
        <f>+C52</f>
        <v>41646577.757286377</v>
      </c>
      <c r="F52" s="114">
        <v>3510384.7092299997</v>
      </c>
      <c r="G52" s="114">
        <v>1247215.4470407751</v>
      </c>
      <c r="H52" s="137">
        <f t="shared" ref="H52:H56" si="13">B52+F52+G52</f>
        <v>182859488.99363932</v>
      </c>
      <c r="I52" s="118">
        <f t="shared" ref="I52:I57" si="14">IF(H52=0,"%",(F52+G52)/H52)</f>
        <v>2.6017792035043178E-2</v>
      </c>
    </row>
    <row r="53" spans="1:14" ht="15.6">
      <c r="A53" s="121" t="s">
        <v>112</v>
      </c>
      <c r="B53" s="143">
        <f>+'2-Revenue'!G9*1</f>
        <v>45684616.48331248</v>
      </c>
      <c r="C53" s="135">
        <v>0</v>
      </c>
      <c r="D53" s="115" t="str">
        <f t="shared" si="12"/>
        <v>%</v>
      </c>
      <c r="E53" s="114">
        <f>0</f>
        <v>0</v>
      </c>
      <c r="F53" s="114">
        <v>5514589.5524254711</v>
      </c>
      <c r="G53" s="114">
        <v>9882180.4487793483</v>
      </c>
      <c r="H53" s="137">
        <f t="shared" si="13"/>
        <v>61081386.484517306</v>
      </c>
      <c r="I53" s="118">
        <f t="shared" si="14"/>
        <v>0.25206975295342282</v>
      </c>
    </row>
    <row r="54" spans="1:14" ht="15.6">
      <c r="A54" s="121" t="s">
        <v>113</v>
      </c>
      <c r="B54" s="143">
        <f>+'2-Revenue'!G10*1</f>
        <v>100543893.4323197</v>
      </c>
      <c r="C54" s="135">
        <v>0</v>
      </c>
      <c r="D54" s="115" t="str">
        <f t="shared" si="12"/>
        <v>%</v>
      </c>
      <c r="E54" s="114">
        <f>0</f>
        <v>0</v>
      </c>
      <c r="F54" s="114">
        <v>14059990.641109601</v>
      </c>
      <c r="G54" s="114">
        <v>509366.24037187477</v>
      </c>
      <c r="H54" s="137">
        <f t="shared" si="13"/>
        <v>115113250.31380117</v>
      </c>
      <c r="I54" s="118">
        <f t="shared" si="14"/>
        <v>0.12656542006906329</v>
      </c>
    </row>
    <row r="55" spans="1:14" ht="15.6">
      <c r="A55" s="121" t="s">
        <v>153</v>
      </c>
      <c r="B55" s="122">
        <f>+SUM('2-Revenue'!G11+'2-Revenue'!G13+'2-Revenue'!G15+'2-Revenue'!G17+'2-Revenue'!G19)*1</f>
        <v>8185578.6854273807</v>
      </c>
      <c r="C55" s="135">
        <v>0</v>
      </c>
      <c r="D55" s="115" t="str">
        <f t="shared" si="12"/>
        <v>%</v>
      </c>
      <c r="E55" s="114">
        <f>0</f>
        <v>0</v>
      </c>
      <c r="F55" s="114">
        <v>444174.80679702963</v>
      </c>
      <c r="G55" s="114">
        <v>0</v>
      </c>
      <c r="H55" s="137">
        <f t="shared" si="13"/>
        <v>8629753.4922244102</v>
      </c>
      <c r="I55" s="118">
        <f t="shared" si="14"/>
        <v>5.147016159815463E-2</v>
      </c>
    </row>
    <row r="56" spans="1:14" ht="15.95" thickBot="1">
      <c r="A56" s="124" t="s">
        <v>154</v>
      </c>
      <c r="B56" s="122">
        <f>+SUM('2-Revenue'!G12+'2-Revenue'!G14+'2-Revenue'!G16+'2-Revenue'!G18+'2-Revenue'!G20)*1</f>
        <v>25151862.498830345</v>
      </c>
      <c r="C56" s="135">
        <v>0</v>
      </c>
      <c r="D56" s="115" t="str">
        <f t="shared" si="12"/>
        <v>%</v>
      </c>
      <c r="E56" s="114">
        <f>0</f>
        <v>0</v>
      </c>
      <c r="F56" s="114">
        <v>3066716.1697963984</v>
      </c>
      <c r="G56" s="114">
        <v>0</v>
      </c>
      <c r="H56" s="138">
        <f t="shared" si="13"/>
        <v>28218578.668626744</v>
      </c>
      <c r="I56" s="118">
        <f t="shared" si="14"/>
        <v>0.10867720184666693</v>
      </c>
    </row>
    <row r="57" spans="1:14" ht="15.95" thickBot="1">
      <c r="A57" s="127" t="s">
        <v>155</v>
      </c>
      <c r="B57" s="139">
        <f>SUM(B51:B56)</f>
        <v>569737346.22401154</v>
      </c>
      <c r="C57" s="139">
        <f t="shared" ref="C57:H57" si="15">SUM(C51:C56)</f>
        <v>45974250</v>
      </c>
      <c r="D57" s="129">
        <f t="shared" si="12"/>
        <v>8.0693762318195777E-2</v>
      </c>
      <c r="E57" s="139">
        <f t="shared" si="15"/>
        <v>45974250</v>
      </c>
      <c r="F57" s="128">
        <f t="shared" si="15"/>
        <v>42587608.443628497</v>
      </c>
      <c r="G57" s="128">
        <f t="shared" si="15"/>
        <v>34182230.027028449</v>
      </c>
      <c r="H57" s="140">
        <f t="shared" si="15"/>
        <v>646507184.69466853</v>
      </c>
      <c r="I57" s="131">
        <f t="shared" si="14"/>
        <v>0.11874553027111941</v>
      </c>
      <c r="J57" s="144"/>
      <c r="K57" s="145"/>
      <c r="N57" s="145"/>
    </row>
    <row r="58" spans="1:14" ht="15.6">
      <c r="A58" s="146"/>
      <c r="B58" s="147"/>
      <c r="C58" s="147"/>
      <c r="D58" s="148"/>
      <c r="E58" s="147"/>
      <c r="F58" s="141"/>
      <c r="G58" s="149"/>
      <c r="H58" s="149"/>
      <c r="I58" s="150"/>
      <c r="J58" s="133"/>
    </row>
    <row r="59" spans="1:14" ht="15.6">
      <c r="A59" s="421" t="s">
        <v>159</v>
      </c>
      <c r="B59" s="421"/>
      <c r="C59" s="421"/>
      <c r="D59" s="421"/>
      <c r="E59" s="421"/>
      <c r="F59" s="421"/>
      <c r="G59" s="421"/>
      <c r="H59" s="421"/>
      <c r="I59" s="111"/>
      <c r="J59" s="108"/>
      <c r="K59" s="108"/>
    </row>
    <row r="60" spans="1:14" ht="12.75" customHeight="1">
      <c r="A60" s="443" t="s">
        <v>142</v>
      </c>
      <c r="B60" s="429" t="s">
        <v>143</v>
      </c>
      <c r="C60" s="429" t="s">
        <v>144</v>
      </c>
      <c r="D60" s="433" t="s">
        <v>145</v>
      </c>
      <c r="E60" s="429" t="s">
        <v>146</v>
      </c>
      <c r="F60" s="429" t="s">
        <v>147</v>
      </c>
      <c r="G60" s="429" t="s">
        <v>148</v>
      </c>
      <c r="H60" s="430" t="s">
        <v>149</v>
      </c>
      <c r="I60" s="426" t="s">
        <v>150</v>
      </c>
    </row>
    <row r="61" spans="1:14" ht="13.5" customHeight="1" thickBot="1">
      <c r="A61" s="443"/>
      <c r="B61" s="430"/>
      <c r="C61" s="430"/>
      <c r="D61" s="433"/>
      <c r="E61" s="430"/>
      <c r="F61" s="430"/>
      <c r="G61" s="430"/>
      <c r="H61" s="430"/>
      <c r="I61" s="427"/>
      <c r="J61" s="108"/>
    </row>
    <row r="62" spans="1:14" ht="12.75" customHeight="1">
      <c r="A62" s="443"/>
      <c r="B62" s="431"/>
      <c r="C62" s="431"/>
      <c r="D62" s="433"/>
      <c r="E62" s="431"/>
      <c r="F62" s="431"/>
      <c r="G62" s="431"/>
      <c r="H62" s="431"/>
      <c r="I62" s="427"/>
      <c r="J62" s="435" t="s">
        <v>151</v>
      </c>
      <c r="K62" s="436"/>
    </row>
    <row r="63" spans="1:14" ht="19.5" customHeight="1" thickBot="1">
      <c r="A63" s="444"/>
      <c r="B63" s="432"/>
      <c r="C63" s="432"/>
      <c r="D63" s="434"/>
      <c r="E63" s="432"/>
      <c r="F63" s="432"/>
      <c r="G63" s="432"/>
      <c r="H63" s="432"/>
      <c r="I63" s="428"/>
      <c r="J63" s="437" t="s">
        <v>152</v>
      </c>
      <c r="K63" s="438"/>
    </row>
    <row r="64" spans="1:14" ht="15.6">
      <c r="A64" s="112" t="s">
        <v>110</v>
      </c>
      <c r="B64" s="113">
        <f>+'2-Revenue'!I7*1</f>
        <v>215475239.70917249</v>
      </c>
      <c r="C64" s="135">
        <v>4327672.242713619</v>
      </c>
      <c r="D64" s="115">
        <f t="shared" ref="D64:D70" si="16">IF(C64=0,"%",C64/B64)</f>
        <v>2.008431339282736E-2</v>
      </c>
      <c r="E64" s="114">
        <f>+C64</f>
        <v>4327672.242713619</v>
      </c>
      <c r="F64" s="114">
        <v>15991752.564269999</v>
      </c>
      <c r="G64" s="114">
        <v>22915009.229801759</v>
      </c>
      <c r="H64" s="136">
        <f>B64+F64+G64</f>
        <v>254382001.50324422</v>
      </c>
      <c r="I64" s="118">
        <f>IF(H64=0,"%",(F64+G64)/H64)</f>
        <v>0.15294620517236385</v>
      </c>
      <c r="J64" s="119">
        <f>(C64+C66+C68)-(E64+E66+E68)</f>
        <v>0</v>
      </c>
      <c r="K64" s="120" t="str">
        <f>IF(J64&gt;0,"WARNING: IS subsidizing OS","Compliant")</f>
        <v>Compliant</v>
      </c>
    </row>
    <row r="65" spans="1:11" ht="15.6">
      <c r="A65" s="121" t="s">
        <v>111</v>
      </c>
      <c r="B65" s="113">
        <f>+'2-Revenue'!I8*1</f>
        <v>180897638.81560177</v>
      </c>
      <c r="C65" s="135">
        <v>41646577.757286377</v>
      </c>
      <c r="D65" s="115">
        <f t="shared" si="16"/>
        <v>0.23022178747031002</v>
      </c>
      <c r="E65" s="114">
        <f>+C65</f>
        <v>41646577.757286377</v>
      </c>
      <c r="F65" s="114">
        <v>3510384.7092299997</v>
      </c>
      <c r="G65" s="114">
        <v>1207400.8953084415</v>
      </c>
      <c r="H65" s="137">
        <f t="shared" ref="H65:H69" si="17">B65+F65+G65</f>
        <v>185615424.42014021</v>
      </c>
      <c r="I65" s="118">
        <f t="shared" ref="I65:I70" si="18">IF(H65=0,"%",(F65+G65)/H65)</f>
        <v>2.5416991175581081E-2</v>
      </c>
    </row>
    <row r="66" spans="1:11" ht="15.6">
      <c r="A66" s="121" t="s">
        <v>112</v>
      </c>
      <c r="B66" s="113">
        <f>+'2-Revenue'!I9*1</f>
        <v>46920982.925971672</v>
      </c>
      <c r="C66" s="135">
        <v>0</v>
      </c>
      <c r="D66" s="115" t="str">
        <f t="shared" si="16"/>
        <v>%</v>
      </c>
      <c r="E66" s="114">
        <f>0</f>
        <v>0</v>
      </c>
      <c r="F66" s="114">
        <v>5514589.5524254702</v>
      </c>
      <c r="G66" s="114">
        <v>9566714.0346648395</v>
      </c>
      <c r="H66" s="137">
        <f t="shared" si="17"/>
        <v>62002286.513061985</v>
      </c>
      <c r="I66" s="118">
        <f t="shared" si="18"/>
        <v>0.24323786162165392</v>
      </c>
    </row>
    <row r="67" spans="1:11" ht="15.6">
      <c r="A67" s="121" t="s">
        <v>113</v>
      </c>
      <c r="B67" s="113">
        <f>+'2-Revenue'!I10*1</f>
        <v>102294484.28579408</v>
      </c>
      <c r="C67" s="135">
        <v>0</v>
      </c>
      <c r="D67" s="115" t="str">
        <f t="shared" si="16"/>
        <v>%</v>
      </c>
      <c r="E67" s="114">
        <f>0</f>
        <v>0</v>
      </c>
      <c r="F67" s="114">
        <v>14059990.641109603</v>
      </c>
      <c r="G67" s="114">
        <v>493105.86725341447</v>
      </c>
      <c r="H67" s="137">
        <f t="shared" si="17"/>
        <v>116847580.79415709</v>
      </c>
      <c r="I67" s="118">
        <f t="shared" si="18"/>
        <v>0.12454769203994286</v>
      </c>
    </row>
    <row r="68" spans="1:11" ht="15.6">
      <c r="A68" s="121" t="s">
        <v>153</v>
      </c>
      <c r="B68" s="122">
        <f>+SUM('2-Revenue'!I11+'2-Revenue'!I13+'2-Revenue'!I15+'2-Revenue'!I17+'2-Revenue'!I19)*1</f>
        <v>8315653.9207258187</v>
      </c>
      <c r="C68" s="135">
        <v>0</v>
      </c>
      <c r="D68" s="115" t="str">
        <f t="shared" si="16"/>
        <v>%</v>
      </c>
      <c r="E68" s="114">
        <f>0</f>
        <v>0</v>
      </c>
      <c r="F68" s="114">
        <v>444174.80679702963</v>
      </c>
      <c r="G68" s="114">
        <v>0</v>
      </c>
      <c r="H68" s="137">
        <f t="shared" si="17"/>
        <v>8759828.7275228482</v>
      </c>
      <c r="I68" s="118">
        <f t="shared" si="18"/>
        <v>5.070587800437918E-2</v>
      </c>
    </row>
    <row r="69" spans="1:11" ht="15.95" thickBot="1">
      <c r="A69" s="124" t="s">
        <v>154</v>
      </c>
      <c r="B69" s="122">
        <f>+SUM('2-Revenue'!I12+'2-Revenue'!I14+'2-Revenue'!I16+'2-Revenue'!I18+'2-Revenue'!I20)*1</f>
        <v>25577132.77565252</v>
      </c>
      <c r="C69" s="135">
        <v>0</v>
      </c>
      <c r="D69" s="115" t="str">
        <f t="shared" si="16"/>
        <v>%</v>
      </c>
      <c r="E69" s="114">
        <f>0</f>
        <v>0</v>
      </c>
      <c r="F69" s="114">
        <v>3066716.1697963988</v>
      </c>
      <c r="G69" s="114">
        <v>0</v>
      </c>
      <c r="H69" s="138">
        <f t="shared" si="17"/>
        <v>28643848.94544892</v>
      </c>
      <c r="I69" s="118">
        <f t="shared" si="18"/>
        <v>0.10706369020576945</v>
      </c>
    </row>
    <row r="70" spans="1:11" ht="15.95" thickBot="1">
      <c r="A70" s="127" t="s">
        <v>155</v>
      </c>
      <c r="B70" s="139">
        <f>SUM(B64:B69)</f>
        <v>579481132.43291843</v>
      </c>
      <c r="C70" s="139">
        <f t="shared" ref="C70" si="19">SUM(C64:C69)</f>
        <v>45974250</v>
      </c>
      <c r="D70" s="129">
        <f t="shared" si="16"/>
        <v>7.9336923027984951E-2</v>
      </c>
      <c r="E70" s="139">
        <f t="shared" ref="E70:H70" si="20">SUM(E64:E69)</f>
        <v>45974250</v>
      </c>
      <c r="F70" s="128">
        <f t="shared" si="20"/>
        <v>42587608.443628497</v>
      </c>
      <c r="G70" s="128">
        <f t="shared" si="20"/>
        <v>34182230.027028456</v>
      </c>
      <c r="H70" s="140">
        <f t="shared" si="20"/>
        <v>656250970.90357518</v>
      </c>
      <c r="I70" s="131">
        <f t="shared" si="18"/>
        <v>0.11698243793065104</v>
      </c>
      <c r="J70" s="144"/>
    </row>
    <row r="71" spans="1:11" ht="15.6">
      <c r="A71" s="146"/>
      <c r="B71" s="147"/>
      <c r="C71" s="147"/>
      <c r="D71" s="148"/>
      <c r="E71" s="147"/>
      <c r="F71" s="141"/>
      <c r="G71" s="149"/>
      <c r="H71" s="149"/>
      <c r="I71" s="150"/>
      <c r="J71" s="144"/>
    </row>
    <row r="72" spans="1:11" ht="12.75" customHeight="1">
      <c r="A72" s="421" t="s">
        <v>160</v>
      </c>
      <c r="B72" s="421"/>
      <c r="C72" s="421"/>
      <c r="D72" s="421"/>
      <c r="E72" s="421"/>
      <c r="F72" s="421"/>
      <c r="G72" s="421"/>
      <c r="H72" s="421"/>
      <c r="I72" s="111"/>
      <c r="J72" s="108"/>
      <c r="K72" s="108"/>
    </row>
    <row r="73" spans="1:11" ht="13.5" customHeight="1">
      <c r="A73" s="443" t="s">
        <v>142</v>
      </c>
      <c r="B73" s="429" t="s">
        <v>143</v>
      </c>
      <c r="C73" s="429" t="s">
        <v>144</v>
      </c>
      <c r="D73" s="433" t="s">
        <v>145</v>
      </c>
      <c r="E73" s="429" t="s">
        <v>146</v>
      </c>
      <c r="F73" s="429" t="s">
        <v>147</v>
      </c>
      <c r="G73" s="429" t="s">
        <v>148</v>
      </c>
      <c r="H73" s="430" t="s">
        <v>149</v>
      </c>
      <c r="I73" s="426" t="s">
        <v>150</v>
      </c>
    </row>
    <row r="74" spans="1:11" ht="13.5" customHeight="1" thickBot="1">
      <c r="A74" s="443"/>
      <c r="B74" s="430"/>
      <c r="C74" s="430"/>
      <c r="D74" s="433"/>
      <c r="E74" s="430"/>
      <c r="F74" s="430"/>
      <c r="G74" s="430"/>
      <c r="H74" s="430"/>
      <c r="I74" s="427"/>
      <c r="J74" s="108"/>
    </row>
    <row r="75" spans="1:11" ht="12.75" customHeight="1">
      <c r="A75" s="443"/>
      <c r="B75" s="431"/>
      <c r="C75" s="431"/>
      <c r="D75" s="433"/>
      <c r="E75" s="431"/>
      <c r="F75" s="431"/>
      <c r="G75" s="431"/>
      <c r="H75" s="431"/>
      <c r="I75" s="427"/>
      <c r="J75" s="435" t="s">
        <v>151</v>
      </c>
      <c r="K75" s="436"/>
    </row>
    <row r="76" spans="1:11" ht="22.5" customHeight="1" thickBot="1">
      <c r="A76" s="444"/>
      <c r="B76" s="432"/>
      <c r="C76" s="432"/>
      <c r="D76" s="434"/>
      <c r="E76" s="432"/>
      <c r="F76" s="432"/>
      <c r="G76" s="432"/>
      <c r="H76" s="432"/>
      <c r="I76" s="428"/>
      <c r="J76" s="437" t="s">
        <v>152</v>
      </c>
      <c r="K76" s="438"/>
    </row>
    <row r="77" spans="1:11" ht="15.6">
      <c r="A77" s="112" t="s">
        <v>110</v>
      </c>
      <c r="B77" s="113">
        <f>+'2-Revenue'!K7*1</f>
        <v>219310128.97957125</v>
      </c>
      <c r="C77" s="135">
        <v>4327672.242713619</v>
      </c>
      <c r="D77" s="115">
        <f t="shared" ref="D77:D83" si="21">IF(C77=0,"%",C77/B77)</f>
        <v>1.973311612577977E-2</v>
      </c>
      <c r="E77" s="114">
        <f>+C77</f>
        <v>4327672.242713619</v>
      </c>
      <c r="F77" s="114">
        <v>15991752.564269999</v>
      </c>
      <c r="G77" s="114">
        <v>22915009.229801759</v>
      </c>
      <c r="H77" s="136">
        <f>B77+F77+G77</f>
        <v>258216890.77364302</v>
      </c>
      <c r="I77" s="118">
        <f>IF(H77=0,"%",(F77+G77)/H77)</f>
        <v>0.15067473579092094</v>
      </c>
      <c r="J77" s="119">
        <f>(C77+C79+C81)-(E77+E79+E81)</f>
        <v>0</v>
      </c>
      <c r="K77" s="120" t="str">
        <f>IF(J77&gt;0,"WARNING: IS subsidizing OS","Compliant")</f>
        <v>Compliant</v>
      </c>
    </row>
    <row r="78" spans="1:11" ht="15.6">
      <c r="A78" s="121" t="s">
        <v>111</v>
      </c>
      <c r="B78" s="113">
        <f>+'2-Revenue'!K8*1</f>
        <v>183695597.81006071</v>
      </c>
      <c r="C78" s="135">
        <v>41646577.757286377</v>
      </c>
      <c r="D78" s="115">
        <f t="shared" si="21"/>
        <v>0.22671516494558838</v>
      </c>
      <c r="E78" s="114">
        <f>+C78</f>
        <v>41646577.757286377</v>
      </c>
      <c r="F78" s="114">
        <v>3510384.7092299997</v>
      </c>
      <c r="G78" s="114">
        <v>1207400.8953084415</v>
      </c>
      <c r="H78" s="137">
        <f t="shared" ref="H78:H82" si="22">B78+F78+G78</f>
        <v>188413383.41459915</v>
      </c>
      <c r="I78" s="118">
        <f t="shared" ref="I78:I83" si="23">IF(H78=0,"%",(F78+G78)/H78)</f>
        <v>2.5039546124794469E-2</v>
      </c>
    </row>
    <row r="79" spans="1:11" ht="15.6">
      <c r="A79" s="121" t="s">
        <v>112</v>
      </c>
      <c r="B79" s="113">
        <f>+'2-Revenue'!K9*1</f>
        <v>47855942.033599004</v>
      </c>
      <c r="C79" s="135">
        <v>0</v>
      </c>
      <c r="D79" s="115" t="str">
        <f t="shared" si="21"/>
        <v>%</v>
      </c>
      <c r="E79" s="114">
        <f>0</f>
        <v>0</v>
      </c>
      <c r="F79" s="114">
        <v>5514589.5524254711</v>
      </c>
      <c r="G79" s="114">
        <v>9566714.0346648395</v>
      </c>
      <c r="H79" s="137">
        <f t="shared" si="22"/>
        <v>62937245.620689318</v>
      </c>
      <c r="I79" s="118">
        <f t="shared" si="23"/>
        <v>0.23962446145137059</v>
      </c>
    </row>
    <row r="80" spans="1:11" ht="15.6">
      <c r="A80" s="121" t="s">
        <v>113</v>
      </c>
      <c r="B80" s="113">
        <f>+'2-Revenue'!K10*1</f>
        <v>104055230.25686291</v>
      </c>
      <c r="C80" s="135">
        <v>0</v>
      </c>
      <c r="D80" s="115" t="str">
        <f t="shared" si="21"/>
        <v>%</v>
      </c>
      <c r="E80" s="114">
        <f>0</f>
        <v>0</v>
      </c>
      <c r="F80" s="114">
        <v>14059990.641109603</v>
      </c>
      <c r="G80" s="114">
        <v>493105.86725341447</v>
      </c>
      <c r="H80" s="137">
        <f t="shared" si="22"/>
        <v>118608326.76522592</v>
      </c>
      <c r="I80" s="118">
        <f t="shared" si="23"/>
        <v>0.12269877592295447</v>
      </c>
    </row>
    <row r="81" spans="1:10" ht="15.6">
      <c r="A81" s="121" t="s">
        <v>153</v>
      </c>
      <c r="B81" s="122">
        <f>+SUM('2-Revenue'!K11+'2-Revenue'!K13+'2-Revenue'!K15+'2-Revenue'!K17+'2-Revenue'!K19)*1</f>
        <v>8447713.2926462814</v>
      </c>
      <c r="C81" s="135">
        <v>0</v>
      </c>
      <c r="D81" s="115" t="str">
        <f t="shared" si="21"/>
        <v>%</v>
      </c>
      <c r="E81" s="114">
        <f>0</f>
        <v>0</v>
      </c>
      <c r="F81" s="114">
        <v>444174.80679702963</v>
      </c>
      <c r="G81" s="114">
        <v>0</v>
      </c>
      <c r="H81" s="137">
        <f t="shared" si="22"/>
        <v>8891888.0994433109</v>
      </c>
      <c r="I81" s="118">
        <f t="shared" si="23"/>
        <v>4.9952811127350762E-2</v>
      </c>
    </row>
    <row r="82" spans="1:10" ht="15.95" thickBot="1">
      <c r="A82" s="124" t="s">
        <v>154</v>
      </c>
      <c r="B82" s="122">
        <f>+SUM('2-Revenue'!K12+'2-Revenue'!K14+'2-Revenue'!K16+'2-Revenue'!K18+'2-Revenue'!K20)*1</f>
        <v>26008886.630988337</v>
      </c>
      <c r="C82" s="135">
        <v>0</v>
      </c>
      <c r="D82" s="115" t="str">
        <f t="shared" si="21"/>
        <v>%</v>
      </c>
      <c r="E82" s="114">
        <f>0</f>
        <v>0</v>
      </c>
      <c r="F82" s="114">
        <v>3066716.1697963984</v>
      </c>
      <c r="G82" s="114">
        <v>0</v>
      </c>
      <c r="H82" s="138">
        <f t="shared" si="22"/>
        <v>29075602.800784737</v>
      </c>
      <c r="I82" s="118">
        <f t="shared" si="23"/>
        <v>0.10547386380287287</v>
      </c>
    </row>
    <row r="83" spans="1:10" ht="15.95" thickBot="1">
      <c r="A83" s="127" t="s">
        <v>155</v>
      </c>
      <c r="B83" s="139">
        <f>SUM(B77:B82)</f>
        <v>589373499.00372851</v>
      </c>
      <c r="C83" s="139">
        <f t="shared" ref="C83" si="24">SUM(C77:C82)</f>
        <v>45974250</v>
      </c>
      <c r="D83" s="129">
        <f t="shared" si="21"/>
        <v>7.8005288798553798E-2</v>
      </c>
      <c r="E83" s="139">
        <f t="shared" ref="E83:H83" si="25">SUM(E77:E82)</f>
        <v>45974250</v>
      </c>
      <c r="F83" s="128">
        <f t="shared" si="25"/>
        <v>42587608.443628497</v>
      </c>
      <c r="G83" s="128">
        <f t="shared" si="25"/>
        <v>34182230.027028456</v>
      </c>
      <c r="H83" s="140">
        <f t="shared" si="25"/>
        <v>666143337.4743855</v>
      </c>
      <c r="I83" s="131">
        <f t="shared" si="23"/>
        <v>0.11524522449135642</v>
      </c>
      <c r="J83" s="144"/>
    </row>
    <row r="84" spans="1:10" ht="15.6">
      <c r="A84" s="146"/>
      <c r="B84" s="147"/>
      <c r="C84" s="147"/>
      <c r="D84" s="148"/>
      <c r="E84" s="147"/>
      <c r="F84" s="141"/>
      <c r="G84" s="149"/>
      <c r="H84" s="149"/>
      <c r="I84" s="150"/>
      <c r="J84" s="144"/>
    </row>
    <row r="85" spans="1:10" ht="15.6">
      <c r="A85" s="421" t="s">
        <v>161</v>
      </c>
      <c r="B85" s="421"/>
      <c r="C85" s="421"/>
      <c r="D85" s="421"/>
      <c r="E85" s="421"/>
      <c r="F85" s="421"/>
      <c r="G85" s="421"/>
      <c r="H85" s="421"/>
      <c r="I85" s="111"/>
      <c r="J85" s="144"/>
    </row>
    <row r="86" spans="1:10" ht="12.75" customHeight="1">
      <c r="A86" s="443" t="s">
        <v>142</v>
      </c>
      <c r="B86" s="429" t="s">
        <v>143</v>
      </c>
      <c r="C86" s="429" t="s">
        <v>144</v>
      </c>
      <c r="D86" s="433" t="s">
        <v>145</v>
      </c>
      <c r="E86" s="429" t="s">
        <v>146</v>
      </c>
      <c r="F86" s="429" t="s">
        <v>147</v>
      </c>
      <c r="G86" s="429" t="s">
        <v>148</v>
      </c>
      <c r="H86" s="430" t="s">
        <v>149</v>
      </c>
      <c r="I86" s="426" t="s">
        <v>150</v>
      </c>
      <c r="J86" s="144"/>
    </row>
    <row r="87" spans="1:10" ht="12.75" customHeight="1">
      <c r="A87" s="443"/>
      <c r="B87" s="430"/>
      <c r="C87" s="430"/>
      <c r="D87" s="433"/>
      <c r="E87" s="430"/>
      <c r="F87" s="430"/>
      <c r="G87" s="430"/>
      <c r="H87" s="430"/>
      <c r="I87" s="427"/>
      <c r="J87" s="144"/>
    </row>
    <row r="88" spans="1:10" ht="12.75" customHeight="1">
      <c r="A88" s="443"/>
      <c r="B88" s="431"/>
      <c r="C88" s="431"/>
      <c r="D88" s="433"/>
      <c r="E88" s="431"/>
      <c r="F88" s="431"/>
      <c r="G88" s="431"/>
      <c r="H88" s="431"/>
      <c r="I88" s="427"/>
      <c r="J88" s="144"/>
    </row>
    <row r="89" spans="1:10" ht="21.75" customHeight="1" thickBot="1">
      <c r="A89" s="444"/>
      <c r="B89" s="432"/>
      <c r="C89" s="432"/>
      <c r="D89" s="434"/>
      <c r="E89" s="432"/>
      <c r="F89" s="432"/>
      <c r="G89" s="432"/>
      <c r="H89" s="432"/>
      <c r="I89" s="428"/>
      <c r="J89" s="144"/>
    </row>
    <row r="90" spans="1:10" ht="15.6">
      <c r="A90" s="112" t="s">
        <v>110</v>
      </c>
      <c r="B90" s="113">
        <f>+'2-Revenue'!M7*1</f>
        <v>223203516.08437118</v>
      </c>
      <c r="C90" s="135">
        <v>4327672.242713619</v>
      </c>
      <c r="D90" s="115">
        <f t="shared" ref="D90:D96" si="26">IF(C90=0,"%",C90/B90)</f>
        <v>1.938890712222362E-2</v>
      </c>
      <c r="E90" s="114">
        <f>+C90</f>
        <v>4327672.242713619</v>
      </c>
      <c r="F90" s="114">
        <v>15991752.564269999</v>
      </c>
      <c r="G90" s="114">
        <v>22915009.229801759</v>
      </c>
      <c r="H90" s="136">
        <f>B90+F90+G90</f>
        <v>262110277.87844294</v>
      </c>
      <c r="I90" s="118">
        <f>IF(H90=0,"%",(F90+G90)/H90)</f>
        <v>0.14843661266924937</v>
      </c>
      <c r="J90" s="144"/>
    </row>
    <row r="91" spans="1:10" ht="15.6">
      <c r="A91" s="121" t="s">
        <v>111</v>
      </c>
      <c r="B91" s="113">
        <f>+'2-Revenue'!M8*1</f>
        <v>186536224.41672826</v>
      </c>
      <c r="C91" s="135">
        <v>41646577.757286377</v>
      </c>
      <c r="D91" s="115">
        <f t="shared" si="26"/>
        <v>0.22326268202065946</v>
      </c>
      <c r="E91" s="114">
        <f>+C91</f>
        <v>41646577.757286377</v>
      </c>
      <c r="F91" s="114">
        <v>3510384.7092299997</v>
      </c>
      <c r="G91" s="114">
        <v>1207400.8953084415</v>
      </c>
      <c r="H91" s="137">
        <f t="shared" ref="H91:H95" si="27">B91+F91+G91</f>
        <v>191254010.0212667</v>
      </c>
      <c r="I91" s="118">
        <f t="shared" ref="I91:I96" si="28">IF(H91=0,"%",(F91+G91)/H91)</f>
        <v>2.4667642806620586E-2</v>
      </c>
      <c r="J91" s="144"/>
    </row>
    <row r="92" spans="1:10" ht="15.6">
      <c r="A92" s="121" t="s">
        <v>112</v>
      </c>
      <c r="B92" s="113">
        <f>+'2-Revenue'!M9*1</f>
        <v>48805176.018068284</v>
      </c>
      <c r="C92" s="135">
        <v>0</v>
      </c>
      <c r="D92" s="115" t="str">
        <f t="shared" si="26"/>
        <v>%</v>
      </c>
      <c r="E92" s="114">
        <f>0</f>
        <v>0</v>
      </c>
      <c r="F92" s="114">
        <v>5514589.5524254711</v>
      </c>
      <c r="G92" s="114">
        <v>9566714.0346648395</v>
      </c>
      <c r="H92" s="137">
        <f t="shared" si="27"/>
        <v>63886479.605158597</v>
      </c>
      <c r="I92" s="118">
        <f t="shared" si="28"/>
        <v>0.23606408868195877</v>
      </c>
      <c r="J92" s="144"/>
    </row>
    <row r="93" spans="1:10" ht="15.6">
      <c r="A93" s="121" t="s">
        <v>113</v>
      </c>
      <c r="B93" s="113">
        <f>+'2-Revenue'!M10*1</f>
        <v>105842795.96167549</v>
      </c>
      <c r="C93" s="135">
        <v>0</v>
      </c>
      <c r="D93" s="115" t="str">
        <f t="shared" si="26"/>
        <v>%</v>
      </c>
      <c r="E93" s="114">
        <f>0</f>
        <v>0</v>
      </c>
      <c r="F93" s="114">
        <v>14059990.641109603</v>
      </c>
      <c r="G93" s="114">
        <v>493105.86725341447</v>
      </c>
      <c r="H93" s="137">
        <f t="shared" si="27"/>
        <v>120395892.4700385</v>
      </c>
      <c r="I93" s="118">
        <f t="shared" si="28"/>
        <v>0.12087701839150929</v>
      </c>
      <c r="J93" s="144"/>
    </row>
    <row r="94" spans="1:10" ht="15.6">
      <c r="A94" s="121" t="s">
        <v>153</v>
      </c>
      <c r="B94" s="122">
        <f>+SUM('2-Revenue'!M11+'2-Revenue'!M13+'2-Revenue'!M15+'2-Revenue'!M17+'2-Revenue'!M19)*1</f>
        <v>8581787.2233999465</v>
      </c>
      <c r="C94" s="135">
        <v>0</v>
      </c>
      <c r="D94" s="115" t="str">
        <f t="shared" si="26"/>
        <v>%</v>
      </c>
      <c r="E94" s="114">
        <f>0</f>
        <v>0</v>
      </c>
      <c r="F94" s="114">
        <v>444174.80679702963</v>
      </c>
      <c r="G94" s="114">
        <v>0</v>
      </c>
      <c r="H94" s="137">
        <f t="shared" si="27"/>
        <v>9025962.0301969759</v>
      </c>
      <c r="I94" s="118">
        <f t="shared" si="28"/>
        <v>4.9210799393018971E-2</v>
      </c>
      <c r="J94" s="144"/>
    </row>
    <row r="95" spans="1:10" ht="15.95" thickBot="1">
      <c r="A95" s="124" t="s">
        <v>154</v>
      </c>
      <c r="B95" s="122">
        <f>+SUM('2-Revenue'!M12+'2-Revenue'!M14+'2-Revenue'!M16+'2-Revenue'!M18+'2-Revenue'!M20)*1</f>
        <v>26447223.409002721</v>
      </c>
      <c r="C95" s="135">
        <v>0</v>
      </c>
      <c r="D95" s="115" t="str">
        <f t="shared" si="26"/>
        <v>%</v>
      </c>
      <c r="E95" s="114">
        <f>0</f>
        <v>0</v>
      </c>
      <c r="F95" s="114">
        <v>3066716.1697963988</v>
      </c>
      <c r="G95" s="114">
        <v>0</v>
      </c>
      <c r="H95" s="138">
        <f t="shared" si="27"/>
        <v>29513939.578799121</v>
      </c>
      <c r="I95" s="118">
        <f t="shared" si="28"/>
        <v>0.10390738117521006</v>
      </c>
      <c r="J95" s="144"/>
    </row>
    <row r="96" spans="1:10" ht="15.95" thickBot="1">
      <c r="A96" s="127" t="s">
        <v>155</v>
      </c>
      <c r="B96" s="139">
        <f>SUM(B90:B95)</f>
        <v>599416723.11324596</v>
      </c>
      <c r="C96" s="139">
        <f t="shared" ref="C96" si="29">SUM(C90:C95)</f>
        <v>45974250</v>
      </c>
      <c r="D96" s="129">
        <f t="shared" si="26"/>
        <v>7.6698310586363519E-2</v>
      </c>
      <c r="E96" s="139">
        <f t="shared" ref="E96:H96" si="30">SUM(E90:E95)</f>
        <v>45974250</v>
      </c>
      <c r="F96" s="128">
        <f t="shared" si="30"/>
        <v>42587608.443628497</v>
      </c>
      <c r="G96" s="128">
        <f t="shared" si="30"/>
        <v>34182230.027028456</v>
      </c>
      <c r="H96" s="140">
        <f t="shared" si="30"/>
        <v>676186561.58390296</v>
      </c>
      <c r="I96" s="131">
        <f t="shared" si="28"/>
        <v>0.11353351697914683</v>
      </c>
      <c r="J96" s="144"/>
    </row>
    <row r="97" spans="1:10" ht="15.6">
      <c r="A97" s="146"/>
      <c r="B97" s="147"/>
      <c r="C97" s="147"/>
      <c r="D97" s="148"/>
      <c r="E97" s="147"/>
      <c r="F97" s="141"/>
      <c r="G97" s="149"/>
      <c r="H97" s="149"/>
      <c r="I97" s="150"/>
      <c r="J97" s="144"/>
    </row>
    <row r="98" spans="1:10" ht="15.6">
      <c r="A98" s="447" t="s">
        <v>162</v>
      </c>
      <c r="B98" s="448"/>
      <c r="C98" s="448"/>
      <c r="D98" s="448"/>
      <c r="E98" s="448"/>
      <c r="F98" s="448"/>
      <c r="G98" s="448"/>
      <c r="H98" s="449"/>
      <c r="I98" s="111"/>
      <c r="J98" s="144"/>
    </row>
    <row r="99" spans="1:10" ht="12.75" customHeight="1">
      <c r="A99" s="431" t="s">
        <v>142</v>
      </c>
      <c r="B99" s="431" t="s">
        <v>143</v>
      </c>
      <c r="C99" s="431" t="s">
        <v>144</v>
      </c>
      <c r="D99" s="431" t="s">
        <v>145</v>
      </c>
      <c r="E99" s="431" t="s">
        <v>146</v>
      </c>
      <c r="F99" s="431" t="s">
        <v>147</v>
      </c>
      <c r="G99" s="431" t="s">
        <v>148</v>
      </c>
      <c r="H99" s="431" t="s">
        <v>149</v>
      </c>
      <c r="I99" s="426" t="s">
        <v>150</v>
      </c>
      <c r="J99" s="144"/>
    </row>
    <row r="100" spans="1:10" ht="12.75" customHeight="1">
      <c r="A100" s="433"/>
      <c r="B100" s="433"/>
      <c r="C100" s="433"/>
      <c r="D100" s="433"/>
      <c r="E100" s="433"/>
      <c r="F100" s="433"/>
      <c r="G100" s="433"/>
      <c r="H100" s="433"/>
      <c r="I100" s="427"/>
      <c r="J100" s="144"/>
    </row>
    <row r="101" spans="1:10" ht="12.75" customHeight="1">
      <c r="A101" s="433"/>
      <c r="B101" s="433"/>
      <c r="C101" s="433"/>
      <c r="D101" s="433"/>
      <c r="E101" s="433"/>
      <c r="F101" s="433"/>
      <c r="G101" s="433"/>
      <c r="H101" s="433"/>
      <c r="I101" s="427"/>
      <c r="J101" s="144"/>
    </row>
    <row r="102" spans="1:10" ht="22.5" customHeight="1" thickBot="1">
      <c r="A102" s="434"/>
      <c r="B102" s="434"/>
      <c r="C102" s="434"/>
      <c r="D102" s="434"/>
      <c r="E102" s="434"/>
      <c r="F102" s="434"/>
      <c r="G102" s="434"/>
      <c r="H102" s="434"/>
      <c r="I102" s="428"/>
      <c r="J102" s="144"/>
    </row>
    <row r="103" spans="1:10" ht="15.6">
      <c r="A103" s="112" t="s">
        <v>110</v>
      </c>
      <c r="B103" s="113">
        <f>+'2-Revenue'!O7*1</f>
        <v>227156297.98099515</v>
      </c>
      <c r="C103" s="135">
        <v>4327672.242713619</v>
      </c>
      <c r="D103" s="115">
        <f t="shared" ref="D103:D109" si="31">IF(C103=0,"%",C103/B103)</f>
        <v>1.9051517748698697E-2</v>
      </c>
      <c r="E103" s="114">
        <f>+C103</f>
        <v>4327672.242713619</v>
      </c>
      <c r="F103" s="114">
        <v>15991752.564269999</v>
      </c>
      <c r="G103" s="114">
        <v>22915009.229801759</v>
      </c>
      <c r="H103" s="136">
        <f>B103+F103+G103</f>
        <v>266063059.77506691</v>
      </c>
      <c r="I103" s="118">
        <f>IF(H103=0,"%",(F103+G103)/H103)</f>
        <v>0.14623135517934743</v>
      </c>
      <c r="J103" s="144"/>
    </row>
    <row r="104" spans="1:10" ht="15.6">
      <c r="A104" s="121" t="s">
        <v>111</v>
      </c>
      <c r="B104" s="113">
        <f>+'2-Revenue'!O8*1</f>
        <v>189420172.61433345</v>
      </c>
      <c r="C104" s="135">
        <v>41646577.757286377</v>
      </c>
      <c r="D104" s="115">
        <f t="shared" si="31"/>
        <v>0.2198634769596603</v>
      </c>
      <c r="E104" s="114">
        <f>+C104</f>
        <v>41646577.757286377</v>
      </c>
      <c r="F104" s="114">
        <v>3510384.7092299997</v>
      </c>
      <c r="G104" s="114">
        <v>1207400.8953084415</v>
      </c>
      <c r="H104" s="137">
        <f t="shared" ref="H104:H108" si="32">B104+F104+G104</f>
        <v>194137958.21887189</v>
      </c>
      <c r="I104" s="118">
        <f t="shared" ref="I104:I109" si="33">IF(H104=0,"%",(F104+G104)/H104)</f>
        <v>2.430120130973867E-2</v>
      </c>
      <c r="J104" s="144"/>
    </row>
    <row r="105" spans="1:10" ht="15.6">
      <c r="A105" s="121" t="s">
        <v>112</v>
      </c>
      <c r="B105" s="113">
        <f>+'2-Revenue'!O9*1</f>
        <v>49768904.012336731</v>
      </c>
      <c r="C105" s="135">
        <v>0</v>
      </c>
      <c r="D105" s="115" t="str">
        <f t="shared" si="31"/>
        <v>%</v>
      </c>
      <c r="E105" s="114">
        <f>0</f>
        <v>0</v>
      </c>
      <c r="F105" s="114">
        <v>5514589.5524254702</v>
      </c>
      <c r="G105" s="114">
        <v>9566714.0346648395</v>
      </c>
      <c r="H105" s="137">
        <f t="shared" si="32"/>
        <v>64850207.599427044</v>
      </c>
      <c r="I105" s="118">
        <f t="shared" si="33"/>
        <v>0.23255598008638531</v>
      </c>
      <c r="J105" s="144"/>
    </row>
    <row r="106" spans="1:10" ht="15.6">
      <c r="A106" s="121" t="s">
        <v>113</v>
      </c>
      <c r="B106" s="113">
        <f>+'2-Revenue'!O10*1</f>
        <v>107657591.86712161</v>
      </c>
      <c r="C106" s="135">
        <v>0</v>
      </c>
      <c r="D106" s="115" t="str">
        <f t="shared" si="31"/>
        <v>%</v>
      </c>
      <c r="E106" s="114">
        <f>0</f>
        <v>0</v>
      </c>
      <c r="F106" s="114">
        <v>14059990.641109603</v>
      </c>
      <c r="G106" s="114">
        <v>493105.86725341447</v>
      </c>
      <c r="H106" s="137">
        <f t="shared" si="32"/>
        <v>122210688.37548462</v>
      </c>
      <c r="I106" s="118">
        <f t="shared" si="33"/>
        <v>0.11908202712719815</v>
      </c>
      <c r="J106" s="144"/>
    </row>
    <row r="107" spans="1:10" ht="15.6">
      <c r="A107" s="121" t="s">
        <v>153</v>
      </c>
      <c r="B107" s="122">
        <f>+SUM('2-Revenue'!O11+'2-Revenue'!O13+'2-Revenue'!O15+'2-Revenue'!O17+'2-Revenue'!O19)*1</f>
        <v>8717906.6047344059</v>
      </c>
      <c r="C107" s="135">
        <v>0</v>
      </c>
      <c r="D107" s="115" t="str">
        <f t="shared" si="31"/>
        <v>%</v>
      </c>
      <c r="E107" s="114">
        <f>0</f>
        <v>0</v>
      </c>
      <c r="F107" s="114">
        <v>444174.80679702968</v>
      </c>
      <c r="G107" s="114">
        <v>0</v>
      </c>
      <c r="H107" s="137">
        <f t="shared" si="32"/>
        <v>9162081.4115314353</v>
      </c>
      <c r="I107" s="118">
        <f t="shared" si="33"/>
        <v>4.8479683474323784E-2</v>
      </c>
      <c r="J107" s="144"/>
    </row>
    <row r="108" spans="1:10" ht="15.95" thickBot="1">
      <c r="A108" s="124" t="s">
        <v>154</v>
      </c>
      <c r="B108" s="122">
        <f>+SUM('2-Revenue'!O12+'2-Revenue'!O14+'2-Revenue'!O16+'2-Revenue'!O18+'2-Revenue'!O20)*1</f>
        <v>26892243.985832822</v>
      </c>
      <c r="C108" s="135">
        <v>0</v>
      </c>
      <c r="D108" s="115" t="str">
        <f t="shared" si="31"/>
        <v>%</v>
      </c>
      <c r="E108" s="114">
        <f>0</f>
        <v>0</v>
      </c>
      <c r="F108" s="114">
        <v>3066716.1697963984</v>
      </c>
      <c r="G108" s="114">
        <v>0</v>
      </c>
      <c r="H108" s="138">
        <f t="shared" si="32"/>
        <v>29958960.155629221</v>
      </c>
      <c r="I108" s="118">
        <f t="shared" si="33"/>
        <v>0.10236390561840543</v>
      </c>
      <c r="J108" s="144"/>
    </row>
    <row r="109" spans="1:10" ht="15.95" thickBot="1">
      <c r="A109" s="127" t="s">
        <v>155</v>
      </c>
      <c r="B109" s="139">
        <f>SUM(B103:B108)</f>
        <v>609613117.06535411</v>
      </c>
      <c r="C109" s="139">
        <f t="shared" ref="C109" si="34">SUM(C103:C108)</f>
        <v>45974250</v>
      </c>
      <c r="D109" s="129">
        <f t="shared" si="31"/>
        <v>7.5415454019948994E-2</v>
      </c>
      <c r="E109" s="139">
        <f t="shared" ref="E109:H109" si="35">SUM(E103:E108)</f>
        <v>45974250</v>
      </c>
      <c r="F109" s="128">
        <f t="shared" si="35"/>
        <v>42587608.443628497</v>
      </c>
      <c r="G109" s="128">
        <f t="shared" si="35"/>
        <v>34182230.027028456</v>
      </c>
      <c r="H109" s="140">
        <f t="shared" si="35"/>
        <v>686382955.53601122</v>
      </c>
      <c r="I109" s="131">
        <f t="shared" si="33"/>
        <v>0.1118469476135312</v>
      </c>
      <c r="J109" s="144"/>
    </row>
    <row r="110" spans="1:10">
      <c r="F110" s="141"/>
    </row>
    <row r="111" spans="1:10" ht="72.75" customHeight="1">
      <c r="A111" s="446" t="s">
        <v>163</v>
      </c>
      <c r="B111" s="446"/>
      <c r="C111" s="446"/>
      <c r="D111" s="446"/>
      <c r="E111" s="446"/>
      <c r="F111" s="446"/>
      <c r="G111" s="446"/>
      <c r="H111" s="446"/>
      <c r="I111" s="151"/>
    </row>
  </sheetData>
  <mergeCells count="101">
    <mergeCell ref="G99:G102"/>
    <mergeCell ref="H99:H102"/>
    <mergeCell ref="I99:I102"/>
    <mergeCell ref="A111:H111"/>
    <mergeCell ref="G86:G89"/>
    <mergeCell ref="H86:H89"/>
    <mergeCell ref="I86:I89"/>
    <mergeCell ref="A98:H98"/>
    <mergeCell ref="A99:A102"/>
    <mergeCell ref="B99:B102"/>
    <mergeCell ref="C99:C102"/>
    <mergeCell ref="D99:D102"/>
    <mergeCell ref="E99:E102"/>
    <mergeCell ref="F99:F102"/>
    <mergeCell ref="A86:A89"/>
    <mergeCell ref="B86:B89"/>
    <mergeCell ref="C86:C89"/>
    <mergeCell ref="D86:D89"/>
    <mergeCell ref="E86:E89"/>
    <mergeCell ref="F86:F89"/>
    <mergeCell ref="G73:G76"/>
    <mergeCell ref="H73:H76"/>
    <mergeCell ref="I73:I76"/>
    <mergeCell ref="J75:K75"/>
    <mergeCell ref="J76:K76"/>
    <mergeCell ref="A85:H85"/>
    <mergeCell ref="A73:A76"/>
    <mergeCell ref="B73:B76"/>
    <mergeCell ref="C73:C76"/>
    <mergeCell ref="D73:D76"/>
    <mergeCell ref="E73:E76"/>
    <mergeCell ref="F73:F76"/>
    <mergeCell ref="I60:I63"/>
    <mergeCell ref="J62:K62"/>
    <mergeCell ref="J63:K63"/>
    <mergeCell ref="A72:H72"/>
    <mergeCell ref="I47:I50"/>
    <mergeCell ref="J49:K49"/>
    <mergeCell ref="J50:K50"/>
    <mergeCell ref="A59:H59"/>
    <mergeCell ref="A60:A63"/>
    <mergeCell ref="B60:B63"/>
    <mergeCell ref="C60:C63"/>
    <mergeCell ref="D60:D63"/>
    <mergeCell ref="E60:E63"/>
    <mergeCell ref="F60:F63"/>
    <mergeCell ref="A47:A50"/>
    <mergeCell ref="B47:B50"/>
    <mergeCell ref="C47:C50"/>
    <mergeCell ref="D47:D50"/>
    <mergeCell ref="E47:E50"/>
    <mergeCell ref="F47:F50"/>
    <mergeCell ref="G47:G50"/>
    <mergeCell ref="H47:H50"/>
    <mergeCell ref="B34:B37"/>
    <mergeCell ref="C34:C37"/>
    <mergeCell ref="D34:D37"/>
    <mergeCell ref="E34:E37"/>
    <mergeCell ref="F34:F37"/>
    <mergeCell ref="G34:G37"/>
    <mergeCell ref="H34:H37"/>
    <mergeCell ref="G60:G63"/>
    <mergeCell ref="H60:H63"/>
    <mergeCell ref="J23:K23"/>
    <mergeCell ref="J24:K24"/>
    <mergeCell ref="A45:E45"/>
    <mergeCell ref="J10:K10"/>
    <mergeCell ref="J11:K11"/>
    <mergeCell ref="A19:E19"/>
    <mergeCell ref="A8:A11"/>
    <mergeCell ref="A46:H46"/>
    <mergeCell ref="I34:I37"/>
    <mergeCell ref="J36:K36"/>
    <mergeCell ref="J37:K37"/>
    <mergeCell ref="I21:I24"/>
    <mergeCell ref="A20:H20"/>
    <mergeCell ref="A21:A24"/>
    <mergeCell ref="B21:B24"/>
    <mergeCell ref="C21:C24"/>
    <mergeCell ref="D21:D24"/>
    <mergeCell ref="E21:E24"/>
    <mergeCell ref="F21:F24"/>
    <mergeCell ref="G21:G24"/>
    <mergeCell ref="H21:H24"/>
    <mergeCell ref="A32:E32"/>
    <mergeCell ref="A33:H33"/>
    <mergeCell ref="A34:A37"/>
    <mergeCell ref="A2:E2"/>
    <mergeCell ref="A3:H3"/>
    <mergeCell ref="A4:H4"/>
    <mergeCell ref="A5:H5"/>
    <mergeCell ref="A6:F6"/>
    <mergeCell ref="A7:H7"/>
    <mergeCell ref="G8:G11"/>
    <mergeCell ref="H8:H11"/>
    <mergeCell ref="I8:I11"/>
    <mergeCell ref="B8:B11"/>
    <mergeCell ref="C8:C11"/>
    <mergeCell ref="D8:D11"/>
    <mergeCell ref="E8:E11"/>
    <mergeCell ref="F8:F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8B266-0D3B-4767-9E2B-33CE96F3779E}">
  <sheetPr>
    <pageSetUpPr fitToPage="1"/>
  </sheetPr>
  <dimension ref="A1:Q75"/>
  <sheetViews>
    <sheetView topLeftCell="A4" zoomScale="70" zoomScaleNormal="70" workbookViewId="0">
      <pane xSplit="4" ySplit="8" topLeftCell="E12" activePane="bottomRight" state="frozen"/>
      <selection pane="bottomRight" activeCell="A3" sqref="A3:H3"/>
      <selection pane="bottomLeft" activeCell="A3" sqref="A3:H3"/>
      <selection pane="topRight" activeCell="A3" sqref="A3:H3"/>
    </sheetView>
  </sheetViews>
  <sheetFormatPr defaultColWidth="9.140625" defaultRowHeight="12.6"/>
  <cols>
    <col min="1" max="1" width="12.42578125" style="154" customWidth="1"/>
    <col min="2" max="2" width="7.140625" style="154" customWidth="1"/>
    <col min="3" max="3" width="54.42578125" style="205" customWidth="1"/>
    <col min="4" max="4" width="18.5703125" style="154" customWidth="1"/>
    <col min="5" max="5" width="20" style="154" customWidth="1"/>
    <col min="6" max="7" width="18.5703125" style="154" customWidth="1"/>
    <col min="8" max="8" width="21.85546875" style="154" customWidth="1"/>
    <col min="9" max="9" width="18.42578125" style="154" customWidth="1"/>
    <col min="10" max="11" width="20.42578125" style="154" customWidth="1"/>
    <col min="12" max="12" width="22.140625" style="154" customWidth="1"/>
    <col min="13" max="13" width="19.5703125" style="154" customWidth="1"/>
    <col min="14" max="15" width="20.42578125" style="154" customWidth="1"/>
    <col min="16" max="16" width="18.140625" style="154" customWidth="1"/>
    <col min="17" max="17" width="69.140625" style="154" customWidth="1"/>
    <col min="18" max="16384" width="9.140625" style="154"/>
  </cols>
  <sheetData>
    <row r="1" spans="1:17" ht="20.100000000000001" customHeight="1">
      <c r="A1" s="152" t="s">
        <v>164</v>
      </c>
      <c r="B1" s="152"/>
      <c r="C1" s="153"/>
      <c r="D1" s="152"/>
      <c r="E1" s="152"/>
      <c r="F1" s="152"/>
      <c r="G1" s="152"/>
      <c r="H1" s="152"/>
      <c r="I1" s="152"/>
      <c r="J1" s="152"/>
      <c r="K1" s="152"/>
      <c r="L1" s="152"/>
      <c r="M1" s="152"/>
      <c r="N1" s="152"/>
      <c r="O1" s="152"/>
    </row>
    <row r="2" spans="1:17" ht="20.100000000000001" customHeight="1">
      <c r="A2" s="452" t="str">
        <f>'Institution ID'!C3</f>
        <v>George Mason University</v>
      </c>
      <c r="B2" s="452"/>
      <c r="C2" s="452"/>
      <c r="D2" s="452"/>
      <c r="E2" s="452"/>
      <c r="F2" s="452"/>
      <c r="G2" s="452"/>
      <c r="H2" s="452"/>
      <c r="I2" s="452"/>
      <c r="J2" s="452"/>
      <c r="K2" s="155"/>
      <c r="L2" s="155"/>
      <c r="M2" s="155"/>
      <c r="N2" s="155"/>
      <c r="O2" s="155"/>
    </row>
    <row r="3" spans="1:17" ht="336" customHeight="1">
      <c r="A3" s="453" t="s">
        <v>165</v>
      </c>
      <c r="B3" s="453"/>
      <c r="C3" s="453"/>
      <c r="D3" s="453"/>
      <c r="E3" s="453"/>
      <c r="F3" s="453"/>
      <c r="G3" s="453"/>
      <c r="H3" s="453"/>
      <c r="I3" s="453"/>
      <c r="J3" s="453"/>
      <c r="K3" s="453"/>
      <c r="L3" s="453"/>
      <c r="M3" s="453"/>
      <c r="N3" s="453"/>
      <c r="O3" s="453"/>
      <c r="P3" s="453"/>
      <c r="Q3" s="453"/>
    </row>
    <row r="4" spans="1:17" ht="30.75" customHeight="1" thickBot="1">
      <c r="A4" s="156"/>
      <c r="B4" s="454" t="s">
        <v>166</v>
      </c>
      <c r="C4" s="454"/>
      <c r="D4" s="454"/>
      <c r="E4" s="156"/>
      <c r="F4" s="156"/>
      <c r="G4" s="156"/>
      <c r="H4" s="157" t="s">
        <v>167</v>
      </c>
      <c r="I4" s="156"/>
      <c r="J4" s="156"/>
      <c r="K4" s="156"/>
      <c r="L4" s="157" t="s">
        <v>168</v>
      </c>
      <c r="M4" s="156"/>
      <c r="N4" s="156"/>
      <c r="O4" s="156"/>
      <c r="P4" s="156"/>
      <c r="Q4" s="156"/>
    </row>
    <row r="5" spans="1:17" ht="20.100000000000001" customHeight="1">
      <c r="A5" s="158"/>
      <c r="B5" s="159" t="s">
        <v>169</v>
      </c>
      <c r="C5" s="160"/>
      <c r="D5" s="161">
        <v>772834355.19114387</v>
      </c>
      <c r="E5" s="156"/>
      <c r="F5" s="162"/>
      <c r="G5" s="162"/>
      <c r="H5" s="163" t="s">
        <v>170</v>
      </c>
      <c r="I5" s="162"/>
      <c r="J5" s="333"/>
      <c r="K5" s="162"/>
      <c r="L5" s="163" t="s">
        <v>170</v>
      </c>
      <c r="M5" s="162"/>
      <c r="N5" s="162"/>
      <c r="O5" s="162"/>
      <c r="P5" s="162"/>
    </row>
    <row r="6" spans="1:17" ht="20.100000000000001" customHeight="1" thickBot="1">
      <c r="A6" s="158"/>
      <c r="B6" s="164" t="s">
        <v>171</v>
      </c>
      <c r="C6" s="165"/>
      <c r="D6" s="166">
        <v>792808137.93689895</v>
      </c>
      <c r="E6" s="156"/>
      <c r="F6" s="162"/>
      <c r="G6" s="162"/>
      <c r="H6" s="167">
        <f>IFERROR(SUM(H12:H18,H30)/SUM(E12:E18,E30),"%")</f>
        <v>0.48112097767014289</v>
      </c>
      <c r="I6" s="162"/>
      <c r="J6" s="162"/>
      <c r="K6" s="162"/>
      <c r="L6" s="167">
        <f>IFERROR(SUM(L12:L18,L30)/SUM(I12:I18,I30),"%")</f>
        <v>0.42464119873294348</v>
      </c>
      <c r="M6" s="162"/>
      <c r="N6" s="162"/>
      <c r="O6" s="162"/>
      <c r="P6" s="162"/>
    </row>
    <row r="7" spans="1:17" ht="20.100000000000001" customHeight="1">
      <c r="A7" s="168"/>
      <c r="B7" s="169"/>
      <c r="C7" s="170"/>
      <c r="D7" s="162"/>
      <c r="E7" s="162"/>
      <c r="F7" s="162"/>
      <c r="G7" s="162"/>
      <c r="H7" s="171"/>
      <c r="I7" s="162"/>
      <c r="J7" s="162"/>
      <c r="K7" s="162"/>
      <c r="L7" s="171"/>
      <c r="M7" s="162"/>
      <c r="N7" s="162"/>
      <c r="O7" s="162"/>
      <c r="P7" s="162"/>
    </row>
    <row r="8" spans="1:17" ht="20.100000000000001" customHeight="1">
      <c r="A8" s="168"/>
      <c r="B8" s="169"/>
      <c r="C8" s="172"/>
      <c r="D8" s="173"/>
      <c r="E8" s="455" t="s">
        <v>172</v>
      </c>
      <c r="F8" s="456"/>
      <c r="G8" s="456"/>
      <c r="H8" s="456"/>
      <c r="I8" s="456"/>
      <c r="J8" s="456"/>
      <c r="K8" s="456"/>
      <c r="L8" s="456"/>
      <c r="M8" s="456"/>
      <c r="N8" s="456"/>
      <c r="O8" s="456"/>
      <c r="P8" s="457"/>
    </row>
    <row r="9" spans="1:17" ht="16.5" customHeight="1">
      <c r="A9" s="168"/>
      <c r="B9" s="458"/>
      <c r="C9" s="459"/>
      <c r="D9" s="174"/>
      <c r="E9" s="460" t="s">
        <v>173</v>
      </c>
      <c r="F9" s="461"/>
      <c r="G9" s="461"/>
      <c r="H9" s="462"/>
      <c r="I9" s="460" t="s">
        <v>174</v>
      </c>
      <c r="J9" s="461"/>
      <c r="K9" s="461"/>
      <c r="L9" s="462"/>
      <c r="M9" s="175" t="s">
        <v>175</v>
      </c>
      <c r="N9" s="175" t="s">
        <v>176</v>
      </c>
      <c r="O9" s="175" t="s">
        <v>177</v>
      </c>
      <c r="P9" s="175" t="s">
        <v>178</v>
      </c>
      <c r="Q9" s="463" t="s">
        <v>179</v>
      </c>
    </row>
    <row r="10" spans="1:17" ht="60.75" customHeight="1">
      <c r="A10" s="168"/>
      <c r="B10" s="176"/>
      <c r="C10" s="177" t="s">
        <v>180</v>
      </c>
      <c r="D10" s="175"/>
      <c r="E10" s="178" t="s">
        <v>181</v>
      </c>
      <c r="F10" s="179" t="s">
        <v>182</v>
      </c>
      <c r="G10" s="179" t="s">
        <v>183</v>
      </c>
      <c r="H10" s="180" t="s">
        <v>184</v>
      </c>
      <c r="I10" s="178" t="s">
        <v>181</v>
      </c>
      <c r="J10" s="179" t="s">
        <v>182</v>
      </c>
      <c r="K10" s="179" t="s">
        <v>183</v>
      </c>
      <c r="L10" s="180" t="s">
        <v>184</v>
      </c>
      <c r="M10" s="175" t="s">
        <v>185</v>
      </c>
      <c r="N10" s="175" t="s">
        <v>185</v>
      </c>
      <c r="O10" s="175" t="s">
        <v>185</v>
      </c>
      <c r="P10" s="175" t="s">
        <v>185</v>
      </c>
      <c r="Q10" s="464"/>
    </row>
    <row r="11" spans="1:17" ht="15.6">
      <c r="A11" s="168"/>
      <c r="B11" s="181" t="s">
        <v>186</v>
      </c>
      <c r="C11" s="182"/>
      <c r="D11" s="334"/>
      <c r="E11" s="335"/>
      <c r="F11" s="336"/>
      <c r="G11" s="336"/>
      <c r="H11" s="337"/>
      <c r="I11" s="335"/>
      <c r="J11" s="336"/>
      <c r="K11" s="336"/>
      <c r="L11" s="337"/>
      <c r="M11" s="334"/>
      <c r="N11" s="334"/>
      <c r="O11" s="334"/>
      <c r="P11" s="334"/>
      <c r="Q11" s="183"/>
    </row>
    <row r="12" spans="1:17" ht="37.5" customHeight="1">
      <c r="A12" s="184"/>
      <c r="B12" s="185"/>
      <c r="C12" s="186" t="s">
        <v>187</v>
      </c>
      <c r="D12" s="194"/>
      <c r="E12" s="190">
        <f>SUM(F12:H12)</f>
        <v>4640030.730866909</v>
      </c>
      <c r="F12" s="191">
        <v>0</v>
      </c>
      <c r="G12" s="191">
        <v>2398445.1391487871</v>
      </c>
      <c r="H12" s="338">
        <v>2241585.5917181219</v>
      </c>
      <c r="I12" s="190">
        <f>SUM(J12:L12)</f>
        <v>11680054.216573924</v>
      </c>
      <c r="J12" s="191">
        <v>0</v>
      </c>
      <c r="K12" s="191">
        <v>7066466.364649618</v>
      </c>
      <c r="L12" s="338">
        <v>4613587.8519243058</v>
      </c>
      <c r="M12" s="192">
        <v>18860878.171995074</v>
      </c>
      <c r="N12" s="192">
        <v>26185318.606524676</v>
      </c>
      <c r="O12" s="192">
        <v>33656247.849744827</v>
      </c>
      <c r="P12" s="192">
        <v>41276595.677829355</v>
      </c>
      <c r="Q12" s="187"/>
    </row>
    <row r="13" spans="1:17" ht="37.5" customHeight="1">
      <c r="A13" s="184"/>
      <c r="B13" s="185"/>
      <c r="C13" s="186" t="s">
        <v>188</v>
      </c>
      <c r="D13" s="194"/>
      <c r="E13" s="190">
        <f t="shared" ref="E13:E28" si="0">SUM(F13:H13)</f>
        <v>2149188.3503820896</v>
      </c>
      <c r="F13" s="191">
        <v>0</v>
      </c>
      <c r="G13" s="191">
        <v>1143424.4000895936</v>
      </c>
      <c r="H13" s="338">
        <v>1005763.950292496</v>
      </c>
      <c r="I13" s="190">
        <f t="shared" ref="I13:I28" si="1">SUM(J13:L13)</f>
        <v>4304339.5639197528</v>
      </c>
      <c r="J13" s="191">
        <v>0</v>
      </c>
      <c r="K13" s="191">
        <v>2272696.3843289111</v>
      </c>
      <c r="L13" s="338">
        <v>2031643.179590842</v>
      </c>
      <c r="M13" s="192">
        <v>6502593.801728189</v>
      </c>
      <c r="N13" s="192">
        <v>8744813.1242927909</v>
      </c>
      <c r="O13" s="192">
        <v>11031876.833308697</v>
      </c>
      <c r="P13" s="192">
        <v>13364681.816504896</v>
      </c>
      <c r="Q13" s="187"/>
    </row>
    <row r="14" spans="1:17" ht="37.5" customHeight="1">
      <c r="A14" s="184"/>
      <c r="B14" s="185"/>
      <c r="C14" s="188" t="s">
        <v>189</v>
      </c>
      <c r="D14" s="194"/>
      <c r="E14" s="190">
        <f t="shared" si="0"/>
        <v>3078199.7830669582</v>
      </c>
      <c r="F14" s="191">
        <v>0</v>
      </c>
      <c r="G14" s="191">
        <v>1614117.344893974</v>
      </c>
      <c r="H14" s="338">
        <v>1464082.4381729842</v>
      </c>
      <c r="I14" s="190">
        <f t="shared" si="1"/>
        <v>7215267.8885617554</v>
      </c>
      <c r="J14" s="191">
        <v>0</v>
      </c>
      <c r="K14" s="191">
        <v>4247388.4839799274</v>
      </c>
      <c r="L14" s="338">
        <v>2967879.404581828</v>
      </c>
      <c r="M14" s="192">
        <v>11435077.356166422</v>
      </c>
      <c r="N14" s="192">
        <v>15739283.013123214</v>
      </c>
      <c r="O14" s="192">
        <v>20129572.783219188</v>
      </c>
      <c r="P14" s="192">
        <v>24607668.348717034</v>
      </c>
      <c r="Q14" s="187"/>
    </row>
    <row r="15" spans="1:17" ht="37.5" customHeight="1">
      <c r="A15" s="184"/>
      <c r="B15" s="185"/>
      <c r="C15" s="186" t="s">
        <v>190</v>
      </c>
      <c r="D15" s="194"/>
      <c r="E15" s="190">
        <f t="shared" si="0"/>
        <v>0</v>
      </c>
      <c r="F15" s="191">
        <v>0</v>
      </c>
      <c r="G15" s="191">
        <v>0</v>
      </c>
      <c r="H15" s="339">
        <v>0</v>
      </c>
      <c r="I15" s="190">
        <f t="shared" si="1"/>
        <v>0</v>
      </c>
      <c r="J15" s="191">
        <v>0</v>
      </c>
      <c r="K15" s="191">
        <v>0</v>
      </c>
      <c r="L15" s="339">
        <v>0</v>
      </c>
      <c r="M15" s="192">
        <v>0</v>
      </c>
      <c r="N15" s="192">
        <v>0</v>
      </c>
      <c r="O15" s="192">
        <v>0</v>
      </c>
      <c r="P15" s="192">
        <v>0</v>
      </c>
      <c r="Q15" s="187"/>
    </row>
    <row r="16" spans="1:17" ht="37.5" customHeight="1">
      <c r="A16" s="184"/>
      <c r="B16" s="185"/>
      <c r="C16" s="186" t="s">
        <v>191</v>
      </c>
      <c r="D16" s="194"/>
      <c r="E16" s="190">
        <f t="shared" si="0"/>
        <v>533892.22679372504</v>
      </c>
      <c r="F16" s="191">
        <v>0</v>
      </c>
      <c r="G16" s="191">
        <v>280634.08715098741</v>
      </c>
      <c r="H16" s="338">
        <v>253258.13964273763</v>
      </c>
      <c r="I16" s="190">
        <f t="shared" si="1"/>
        <v>1078462.2981233224</v>
      </c>
      <c r="J16" s="191">
        <v>0</v>
      </c>
      <c r="K16" s="191">
        <v>566880.85604499234</v>
      </c>
      <c r="L16" s="338">
        <v>511581.44207833009</v>
      </c>
      <c r="M16" s="192">
        <v>1633923.7708795182</v>
      </c>
      <c r="N16" s="192">
        <v>2200494.4730908349</v>
      </c>
      <c r="O16" s="192">
        <v>2778396.589346379</v>
      </c>
      <c r="P16" s="192">
        <v>3367856.747927025</v>
      </c>
      <c r="Q16" s="187"/>
    </row>
    <row r="17" spans="1:17" ht="37.5" customHeight="1">
      <c r="A17" s="184"/>
      <c r="B17" s="185"/>
      <c r="C17" s="186" t="s">
        <v>192</v>
      </c>
      <c r="D17" s="194"/>
      <c r="E17" s="190">
        <f t="shared" si="0"/>
        <v>715053.22512686998</v>
      </c>
      <c r="F17" s="191">
        <v>0</v>
      </c>
      <c r="G17" s="191">
        <v>340471.79774441867</v>
      </c>
      <c r="H17" s="338">
        <v>374581.42738245131</v>
      </c>
      <c r="I17" s="190">
        <f t="shared" si="1"/>
        <v>1542737.6685559303</v>
      </c>
      <c r="J17" s="191">
        <v>0</v>
      </c>
      <c r="K17" s="191">
        <v>786083.18524337863</v>
      </c>
      <c r="L17" s="338">
        <v>756654.48331255163</v>
      </c>
      <c r="M17" s="192">
        <v>2386975.8008535802</v>
      </c>
      <c r="N17" s="192">
        <v>3248098.6957971752</v>
      </c>
      <c r="O17" s="192">
        <v>4126444.0486396402</v>
      </c>
      <c r="P17" s="192">
        <v>5022356.3085389584</v>
      </c>
      <c r="Q17" s="187"/>
    </row>
    <row r="18" spans="1:17" ht="27" customHeight="1">
      <c r="A18" s="184"/>
      <c r="B18" s="185"/>
      <c r="C18" s="186" t="s">
        <v>193</v>
      </c>
      <c r="D18" s="189"/>
      <c r="E18" s="190">
        <f t="shared" si="0"/>
        <v>566924.48611214012</v>
      </c>
      <c r="F18" s="191">
        <v>0</v>
      </c>
      <c r="G18" s="191">
        <v>285163.25811214012</v>
      </c>
      <c r="H18" s="339">
        <v>281761.228</v>
      </c>
      <c r="I18" s="190">
        <f t="shared" si="1"/>
        <v>1155999.4619465247</v>
      </c>
      <c r="J18" s="191">
        <v>0</v>
      </c>
      <c r="K18" s="191">
        <v>581467.95894652465</v>
      </c>
      <c r="L18" s="339">
        <v>574531.50300000003</v>
      </c>
      <c r="M18" s="192">
        <v>1756855.9372975938</v>
      </c>
      <c r="N18" s="192">
        <v>2369729.5421556905</v>
      </c>
      <c r="O18" s="192">
        <v>2994860.6191109531</v>
      </c>
      <c r="P18" s="192">
        <v>3632494.3176053092</v>
      </c>
      <c r="Q18" s="187"/>
    </row>
    <row r="19" spans="1:17" ht="18">
      <c r="A19" s="184"/>
      <c r="B19" s="185"/>
      <c r="C19" s="186" t="s">
        <v>194</v>
      </c>
      <c r="D19" s="189"/>
      <c r="E19" s="190">
        <f t="shared" si="0"/>
        <v>176796.65410481393</v>
      </c>
      <c r="F19" s="191">
        <v>0</v>
      </c>
      <c r="G19" s="191">
        <v>88928.545104813937</v>
      </c>
      <c r="H19" s="339">
        <v>87868.108999999997</v>
      </c>
      <c r="I19" s="190">
        <f t="shared" si="1"/>
        <v>357129.24129172415</v>
      </c>
      <c r="J19" s="191">
        <v>0</v>
      </c>
      <c r="K19" s="191">
        <v>179636.12829172413</v>
      </c>
      <c r="L19" s="339">
        <v>177493.11300000001</v>
      </c>
      <c r="M19" s="192">
        <v>541068.48022237234</v>
      </c>
      <c r="N19" s="192">
        <v>728686.50393163227</v>
      </c>
      <c r="O19" s="192">
        <v>920056.88811508007</v>
      </c>
      <c r="P19" s="192">
        <v>1115254.6799821928</v>
      </c>
      <c r="Q19" s="187"/>
    </row>
    <row r="20" spans="1:17" ht="30.95">
      <c r="A20" s="184"/>
      <c r="B20" s="185"/>
      <c r="C20" s="186" t="s">
        <v>195</v>
      </c>
      <c r="D20" s="189"/>
      <c r="E20" s="190">
        <f t="shared" si="0"/>
        <v>526788.61119885743</v>
      </c>
      <c r="F20" s="191">
        <v>0</v>
      </c>
      <c r="G20" s="191">
        <v>264974.4781988574</v>
      </c>
      <c r="H20" s="339">
        <v>261814.133</v>
      </c>
      <c r="I20" s="190">
        <f t="shared" si="1"/>
        <v>1064112.9946216904</v>
      </c>
      <c r="J20" s="191">
        <v>0</v>
      </c>
      <c r="K20" s="191">
        <v>535248.8336216904</v>
      </c>
      <c r="L20" s="339">
        <v>528864.16099999996</v>
      </c>
      <c r="M20" s="192">
        <v>1612183.8657129817</v>
      </c>
      <c r="N20" s="192">
        <v>2171216.1542260908</v>
      </c>
      <c r="O20" s="192">
        <v>2741429.0885094665</v>
      </c>
      <c r="P20" s="192">
        <v>3323046.2814785093</v>
      </c>
      <c r="Q20" s="187"/>
    </row>
    <row r="21" spans="1:17" ht="24.6" customHeight="1">
      <c r="A21" s="184"/>
      <c r="B21" s="185"/>
      <c r="C21" s="186" t="s">
        <v>196</v>
      </c>
      <c r="D21" s="194"/>
      <c r="E21" s="190">
        <f t="shared" si="0"/>
        <v>339212.18620796874</v>
      </c>
      <c r="F21" s="191">
        <v>0</v>
      </c>
      <c r="G21" s="191">
        <v>168332.92586010118</v>
      </c>
      <c r="H21" s="338">
        <v>170879.26034786756</v>
      </c>
      <c r="I21" s="190">
        <f t="shared" si="1"/>
        <v>730114.39432810619</v>
      </c>
      <c r="J21" s="191">
        <v>0</v>
      </c>
      <c r="K21" s="191">
        <v>384938.28842541366</v>
      </c>
      <c r="L21" s="338">
        <v>345176.10590269254</v>
      </c>
      <c r="M21" s="192">
        <v>1128834.6466106512</v>
      </c>
      <c r="N21" s="192">
        <v>1535529.3039388433</v>
      </c>
      <c r="O21" s="192">
        <v>1950357.8544135951</v>
      </c>
      <c r="P21" s="192">
        <v>2373482.9758978449</v>
      </c>
      <c r="Q21" s="187"/>
    </row>
    <row r="22" spans="1:17" ht="24.6" customHeight="1">
      <c r="A22" s="184"/>
      <c r="B22" s="185"/>
      <c r="C22" s="186" t="s">
        <v>197</v>
      </c>
      <c r="D22" s="194"/>
      <c r="E22" s="190">
        <f t="shared" si="0"/>
        <v>4002.8833993551671</v>
      </c>
      <c r="F22" s="191">
        <v>0</v>
      </c>
      <c r="G22" s="191">
        <v>4002.8833993551671</v>
      </c>
      <c r="H22" s="340"/>
      <c r="I22" s="190">
        <f t="shared" si="1"/>
        <v>9519.0264666973962</v>
      </c>
      <c r="J22" s="191">
        <v>0</v>
      </c>
      <c r="K22" s="191">
        <v>9519.0264666973962</v>
      </c>
      <c r="L22" s="340"/>
      <c r="M22" s="192">
        <v>15145.492395386507</v>
      </c>
      <c r="N22" s="192">
        <v>20884.487642649387</v>
      </c>
      <c r="O22" s="192">
        <v>26738.262794857554</v>
      </c>
      <c r="P22" s="192">
        <v>32709.113450109784</v>
      </c>
      <c r="Q22" s="187"/>
    </row>
    <row r="23" spans="1:17" ht="24.6" customHeight="1">
      <c r="A23" s="184"/>
      <c r="B23" s="185"/>
      <c r="C23" s="186" t="s">
        <v>198</v>
      </c>
      <c r="D23" s="194"/>
      <c r="E23" s="190">
        <f t="shared" si="0"/>
        <v>-105302.07034654915</v>
      </c>
      <c r="F23" s="191">
        <v>0</v>
      </c>
      <c r="G23" s="191">
        <v>-105302.07034654915</v>
      </c>
      <c r="H23" s="340"/>
      <c r="I23" s="190">
        <f t="shared" si="1"/>
        <v>-43900.182100029662</v>
      </c>
      <c r="J23" s="191">
        <v>0</v>
      </c>
      <c r="K23" s="191">
        <v>-43900.182100029662</v>
      </c>
      <c r="L23" s="340"/>
      <c r="M23" s="192">
        <v>18729.743911421392</v>
      </c>
      <c r="N23" s="192">
        <v>82612.268443101551</v>
      </c>
      <c r="O23" s="192">
        <v>147772.44346541446</v>
      </c>
      <c r="P23" s="192">
        <v>214235.82198817376</v>
      </c>
      <c r="Q23" s="187"/>
    </row>
    <row r="24" spans="1:17" ht="42.6" customHeight="1">
      <c r="A24" s="184"/>
      <c r="B24" s="185"/>
      <c r="C24" s="372" t="s">
        <v>199</v>
      </c>
      <c r="D24" s="373"/>
      <c r="E24" s="374">
        <f t="shared" si="0"/>
        <v>-5149250</v>
      </c>
      <c r="F24" s="375">
        <v>-5149250</v>
      </c>
      <c r="G24" s="375">
        <v>0</v>
      </c>
      <c r="H24" s="376"/>
      <c r="I24" s="374">
        <f t="shared" si="1"/>
        <v>-5149250</v>
      </c>
      <c r="J24" s="375">
        <v>-5149250</v>
      </c>
      <c r="K24" s="375">
        <v>0</v>
      </c>
      <c r="L24" s="376"/>
      <c r="M24" s="377">
        <v>-5149250</v>
      </c>
      <c r="N24" s="377">
        <v>-5149250</v>
      </c>
      <c r="O24" s="377">
        <v>-5149250</v>
      </c>
      <c r="P24" s="377">
        <v>-5149250</v>
      </c>
      <c r="Q24" s="378" t="s">
        <v>200</v>
      </c>
    </row>
    <row r="25" spans="1:17" ht="24.6" customHeight="1">
      <c r="A25" s="184"/>
      <c r="B25" s="185"/>
      <c r="C25" s="372" t="s">
        <v>201</v>
      </c>
      <c r="D25" s="373"/>
      <c r="E25" s="374">
        <f t="shared" si="0"/>
        <v>2500090</v>
      </c>
      <c r="F25" s="375">
        <v>0</v>
      </c>
      <c r="G25" s="375">
        <v>2500090</v>
      </c>
      <c r="H25" s="376"/>
      <c r="I25" s="374">
        <f t="shared" si="1"/>
        <v>5000180</v>
      </c>
      <c r="J25" s="375">
        <v>0</v>
      </c>
      <c r="K25" s="375">
        <v>5000180</v>
      </c>
      <c r="L25" s="376"/>
      <c r="M25" s="377">
        <v>7500270</v>
      </c>
      <c r="N25" s="377">
        <v>10000360</v>
      </c>
      <c r="O25" s="377">
        <v>12500450</v>
      </c>
      <c r="P25" s="377">
        <v>15000540</v>
      </c>
      <c r="Q25" s="379"/>
    </row>
    <row r="26" spans="1:17" ht="33" customHeight="1">
      <c r="A26" s="184"/>
      <c r="B26" s="185"/>
      <c r="C26" s="372" t="s">
        <v>202</v>
      </c>
      <c r="D26" s="373"/>
      <c r="E26" s="374">
        <f t="shared" si="0"/>
        <v>-2700000</v>
      </c>
      <c r="F26" s="375">
        <v>-2700000</v>
      </c>
      <c r="G26" s="375">
        <v>0</v>
      </c>
      <c r="H26" s="376"/>
      <c r="I26" s="374">
        <f t="shared" si="1"/>
        <v>-9000000</v>
      </c>
      <c r="J26" s="375">
        <v>-9000000</v>
      </c>
      <c r="K26" s="375">
        <v>0</v>
      </c>
      <c r="L26" s="376"/>
      <c r="M26" s="377">
        <v>-9000000</v>
      </c>
      <c r="N26" s="377">
        <v>-9000000</v>
      </c>
      <c r="O26" s="377">
        <v>-9000000</v>
      </c>
      <c r="P26" s="377">
        <v>-9000000</v>
      </c>
      <c r="Q26" s="378" t="s">
        <v>203</v>
      </c>
    </row>
    <row r="27" spans="1:17" ht="24.6" customHeight="1">
      <c r="A27" s="184"/>
      <c r="B27" s="185"/>
      <c r="C27" s="186" t="s">
        <v>204</v>
      </c>
      <c r="D27" s="194"/>
      <c r="E27" s="190">
        <f t="shared" si="0"/>
        <v>0</v>
      </c>
      <c r="F27" s="191">
        <v>0</v>
      </c>
      <c r="G27" s="191">
        <v>0</v>
      </c>
      <c r="H27" s="340"/>
      <c r="I27" s="190">
        <f t="shared" si="1"/>
        <v>2329312.6950000003</v>
      </c>
      <c r="J27" s="191">
        <v>0</v>
      </c>
      <c r="K27" s="191">
        <v>2329312.6950000003</v>
      </c>
      <c r="L27" s="340"/>
      <c r="M27" s="192">
        <v>2329312.6950000003</v>
      </c>
      <c r="N27" s="192">
        <v>2329312.6950000003</v>
      </c>
      <c r="O27" s="192">
        <v>2329312.6950000003</v>
      </c>
      <c r="P27" s="192">
        <v>2329312.6950000003</v>
      </c>
      <c r="Q27" s="187"/>
    </row>
    <row r="28" spans="1:17" ht="24.6" customHeight="1">
      <c r="A28" s="184"/>
      <c r="B28" s="185"/>
      <c r="C28" s="186" t="s">
        <v>205</v>
      </c>
      <c r="D28" s="194"/>
      <c r="E28" s="190">
        <f t="shared" si="0"/>
        <v>0</v>
      </c>
      <c r="F28" s="191">
        <v>0</v>
      </c>
      <c r="G28" s="191">
        <v>0</v>
      </c>
      <c r="H28" s="340"/>
      <c r="I28" s="190">
        <f t="shared" si="1"/>
        <v>1150024.2600000002</v>
      </c>
      <c r="J28" s="191">
        <v>0</v>
      </c>
      <c r="K28" s="191">
        <v>1150024.2600000002</v>
      </c>
      <c r="L28" s="340"/>
      <c r="M28" s="192">
        <v>1150024.2600000002</v>
      </c>
      <c r="N28" s="192">
        <v>1150024.2600000002</v>
      </c>
      <c r="O28" s="192">
        <v>1150024.2600000002</v>
      </c>
      <c r="P28" s="192">
        <v>1150024.2600000002</v>
      </c>
      <c r="Q28" s="187"/>
    </row>
    <row r="29" spans="1:17" ht="20.100000000000001" customHeight="1">
      <c r="A29" s="184"/>
      <c r="B29" s="181" t="s">
        <v>206</v>
      </c>
      <c r="C29" s="193"/>
      <c r="D29" s="341"/>
      <c r="E29" s="342"/>
      <c r="F29" s="343"/>
      <c r="G29" s="343"/>
      <c r="H29" s="344"/>
      <c r="I29" s="342"/>
      <c r="J29" s="343"/>
      <c r="K29" s="343"/>
      <c r="L29" s="344"/>
      <c r="M29" s="345"/>
      <c r="N29" s="345"/>
      <c r="O29" s="345"/>
      <c r="P29" s="345"/>
      <c r="Q29" s="183"/>
    </row>
    <row r="30" spans="1:17" ht="24.6" customHeight="1">
      <c r="A30" s="184"/>
      <c r="B30" s="185"/>
      <c r="C30" s="186" t="s">
        <v>207</v>
      </c>
      <c r="D30" s="194"/>
      <c r="E30" s="190">
        <f t="shared" ref="E30:E35" si="2">SUM(F30:H30)</f>
        <v>2680.0000000000073</v>
      </c>
      <c r="F30" s="191">
        <v>0</v>
      </c>
      <c r="G30" s="191">
        <v>1348.0400000000072</v>
      </c>
      <c r="H30" s="338">
        <v>1331.96</v>
      </c>
      <c r="I30" s="190">
        <f t="shared" ref="I30:I35" si="3">SUM(J30:L30)</f>
        <v>4226.5280000000002</v>
      </c>
      <c r="J30" s="191">
        <v>0</v>
      </c>
      <c r="K30" s="191">
        <v>2823</v>
      </c>
      <c r="L30" s="338">
        <v>1403.528</v>
      </c>
      <c r="M30" s="192">
        <v>4453.5672000000004</v>
      </c>
      <c r="N30" s="192">
        <v>4692.2784019200008</v>
      </c>
      <c r="O30" s="192">
        <v>4943.7845242629128</v>
      </c>
      <c r="P30" s="192">
        <v>5208.7713747634052</v>
      </c>
      <c r="Q30" s="187"/>
    </row>
    <row r="31" spans="1:17" ht="37.5" customHeight="1">
      <c r="A31" s="184"/>
      <c r="B31" s="176"/>
      <c r="C31" s="186" t="s">
        <v>208</v>
      </c>
      <c r="D31" s="194"/>
      <c r="E31" s="190">
        <f t="shared" si="2"/>
        <v>2917398.47741096</v>
      </c>
      <c r="F31" s="191">
        <v>-1472301.52258904</v>
      </c>
      <c r="G31" s="191">
        <v>4389700</v>
      </c>
      <c r="H31" s="340"/>
      <c r="I31" s="190">
        <f t="shared" si="3"/>
        <v>7578380.47741096</v>
      </c>
      <c r="J31" s="191">
        <v>-1472301.52258904</v>
      </c>
      <c r="K31" s="191">
        <v>9050682</v>
      </c>
      <c r="L31" s="340"/>
      <c r="M31" s="192">
        <v>13891218.660000011</v>
      </c>
      <c r="N31" s="192">
        <v>18973731.229800016</v>
      </c>
      <c r="O31" s="192">
        <v>24310316.977194026</v>
      </c>
      <c r="P31" s="192">
        <v>29913677.987534851</v>
      </c>
      <c r="Q31" s="187"/>
    </row>
    <row r="32" spans="1:17" ht="37.5" customHeight="1">
      <c r="A32" s="184"/>
      <c r="B32" s="176"/>
      <c r="C32" s="186" t="s">
        <v>209</v>
      </c>
      <c r="D32" s="194"/>
      <c r="E32" s="190">
        <f t="shared" si="2"/>
        <v>529933.76800000109</v>
      </c>
      <c r="F32" s="191">
        <v>0</v>
      </c>
      <c r="G32" s="191">
        <v>529933.76800000109</v>
      </c>
      <c r="H32" s="340"/>
      <c r="I32" s="190">
        <f t="shared" si="3"/>
        <v>1086364.2244000006</v>
      </c>
      <c r="J32" s="191">
        <v>0</v>
      </c>
      <c r="K32" s="191">
        <v>1086364.2244000006</v>
      </c>
      <c r="L32" s="340"/>
      <c r="M32" s="192">
        <v>1670616.2036199998</v>
      </c>
      <c r="N32" s="192">
        <v>2284080.7818010021</v>
      </c>
      <c r="O32" s="192">
        <v>2928218.5888910517</v>
      </c>
      <c r="P32" s="192">
        <v>3604563.2863356061</v>
      </c>
      <c r="Q32" s="187"/>
    </row>
    <row r="33" spans="1:17" ht="37.5" customHeight="1">
      <c r="A33" s="184"/>
      <c r="B33" s="176"/>
      <c r="C33" s="186" t="s">
        <v>210</v>
      </c>
      <c r="D33" s="194"/>
      <c r="E33" s="190">
        <f t="shared" si="2"/>
        <v>-451280</v>
      </c>
      <c r="F33" s="191">
        <v>0</v>
      </c>
      <c r="G33" s="191">
        <v>-451280</v>
      </c>
      <c r="H33" s="340"/>
      <c r="I33" s="190">
        <f t="shared" si="3"/>
        <v>-1018480.4000000022</v>
      </c>
      <c r="J33" s="191">
        <v>0</v>
      </c>
      <c r="K33" s="191">
        <v>-1018480.4000000022</v>
      </c>
      <c r="L33" s="340"/>
      <c r="M33" s="192">
        <v>-1602696.8120000027</v>
      </c>
      <c r="N33" s="192">
        <v>-2204439.7163600065</v>
      </c>
      <c r="O33" s="192">
        <v>-2824234.9078508057</v>
      </c>
      <c r="P33" s="192">
        <v>-3462623.9550863281</v>
      </c>
      <c r="Q33" s="187"/>
    </row>
    <row r="34" spans="1:17" ht="37.5" customHeight="1">
      <c r="A34" s="184"/>
      <c r="B34" s="176"/>
      <c r="C34" s="186" t="s">
        <v>211</v>
      </c>
      <c r="D34" s="194"/>
      <c r="E34" s="190">
        <f t="shared" si="2"/>
        <v>1281322.9392000036</v>
      </c>
      <c r="F34" s="191">
        <v>0</v>
      </c>
      <c r="G34" s="191">
        <v>1281322.9392000036</v>
      </c>
      <c r="H34" s="340"/>
      <c r="I34" s="190">
        <f t="shared" si="3"/>
        <v>2601085.566576004</v>
      </c>
      <c r="J34" s="191">
        <v>0</v>
      </c>
      <c r="K34" s="191">
        <v>2601085.566576004</v>
      </c>
      <c r="L34" s="340"/>
      <c r="M34" s="192">
        <v>3960441.0727732833</v>
      </c>
      <c r="N34" s="192">
        <v>5360577.2441564864</v>
      </c>
      <c r="O34" s="192">
        <v>6802717.5006811852</v>
      </c>
      <c r="P34" s="192">
        <v>8288121.9649016242</v>
      </c>
      <c r="Q34" s="187"/>
    </row>
    <row r="35" spans="1:17" ht="37.5" customHeight="1">
      <c r="A35" s="184"/>
      <c r="B35" s="176"/>
      <c r="C35" s="186" t="s">
        <v>212</v>
      </c>
      <c r="D35" s="194"/>
      <c r="E35" s="190">
        <f t="shared" si="2"/>
        <v>0</v>
      </c>
      <c r="F35" s="191">
        <v>0</v>
      </c>
      <c r="G35" s="191">
        <v>0</v>
      </c>
      <c r="H35" s="340"/>
      <c r="I35" s="190">
        <f t="shared" si="3"/>
        <v>0</v>
      </c>
      <c r="J35" s="191">
        <v>0</v>
      </c>
      <c r="K35" s="191">
        <v>0</v>
      </c>
      <c r="L35" s="340"/>
      <c r="M35" s="192">
        <v>0</v>
      </c>
      <c r="N35" s="192">
        <v>0</v>
      </c>
      <c r="O35" s="192">
        <v>0</v>
      </c>
      <c r="P35" s="192">
        <v>0</v>
      </c>
      <c r="Q35" s="187"/>
    </row>
    <row r="36" spans="1:17" ht="20.100000000000001" customHeight="1">
      <c r="A36" s="184"/>
      <c r="B36" s="181" t="s">
        <v>213</v>
      </c>
      <c r="C36" s="193"/>
      <c r="D36" s="341"/>
      <c r="E36" s="342"/>
      <c r="F36" s="343"/>
      <c r="G36" s="343"/>
      <c r="H36" s="344"/>
      <c r="I36" s="342"/>
      <c r="J36" s="343"/>
      <c r="K36" s="343"/>
      <c r="L36" s="344"/>
      <c r="M36" s="345"/>
      <c r="N36" s="345"/>
      <c r="O36" s="345"/>
      <c r="P36" s="345"/>
      <c r="Q36" s="183"/>
    </row>
    <row r="37" spans="1:17" ht="37.5" customHeight="1">
      <c r="A37" s="184"/>
      <c r="B37" s="176"/>
      <c r="C37" s="188" t="s">
        <v>214</v>
      </c>
      <c r="D37" s="194"/>
      <c r="E37" s="190">
        <f t="shared" ref="E37:E40" si="4">SUM(F37:H37)</f>
        <v>196266.31486229552</v>
      </c>
      <c r="F37" s="191">
        <v>0</v>
      </c>
      <c r="G37" s="191">
        <v>196266.31486229552</v>
      </c>
      <c r="H37" s="340"/>
      <c r="I37" s="190">
        <f t="shared" ref="I37:I40" si="5">SUM(J37:L37)</f>
        <v>402345.9454677063</v>
      </c>
      <c r="J37" s="191">
        <v>0</v>
      </c>
      <c r="K37" s="191">
        <v>402345.9454677063</v>
      </c>
      <c r="L37" s="340"/>
      <c r="M37" s="192">
        <v>402345.9454677063</v>
      </c>
      <c r="N37" s="192">
        <v>402345.9454677063</v>
      </c>
      <c r="O37" s="192">
        <v>402345.9454677063</v>
      </c>
      <c r="P37" s="192">
        <v>402345.9454677063</v>
      </c>
      <c r="Q37" s="187" t="s">
        <v>215</v>
      </c>
    </row>
    <row r="38" spans="1:17" ht="37.5" customHeight="1">
      <c r="A38" s="184"/>
      <c r="B38" s="176"/>
      <c r="C38" s="188" t="s">
        <v>216</v>
      </c>
      <c r="D38" s="194"/>
      <c r="E38" s="190">
        <f t="shared" si="4"/>
        <v>1888733.685137704</v>
      </c>
      <c r="F38" s="191">
        <v>0</v>
      </c>
      <c r="G38" s="191">
        <v>1888733.685137704</v>
      </c>
      <c r="H38" s="340"/>
      <c r="I38" s="190">
        <f t="shared" si="5"/>
        <v>3871904.0545322895</v>
      </c>
      <c r="J38" s="191">
        <v>0</v>
      </c>
      <c r="K38" s="191">
        <v>3871904.0545322895</v>
      </c>
      <c r="L38" s="340"/>
      <c r="M38" s="192">
        <v>3871904.0545322895</v>
      </c>
      <c r="N38" s="192">
        <v>3871904.0545322895</v>
      </c>
      <c r="O38" s="192">
        <v>3871904.0545322895</v>
      </c>
      <c r="P38" s="192">
        <v>3871904.0545322895</v>
      </c>
      <c r="Q38" s="187" t="s">
        <v>215</v>
      </c>
    </row>
    <row r="39" spans="1:17" ht="37.5" customHeight="1">
      <c r="A39" s="184"/>
      <c r="B39" s="185"/>
      <c r="C39" s="186" t="s">
        <v>217</v>
      </c>
      <c r="D39" s="194"/>
      <c r="E39" s="190">
        <f t="shared" si="4"/>
        <v>0</v>
      </c>
      <c r="F39" s="191">
        <v>0</v>
      </c>
      <c r="G39" s="191">
        <v>0</v>
      </c>
      <c r="H39" s="340"/>
      <c r="I39" s="190">
        <f t="shared" si="5"/>
        <v>0</v>
      </c>
      <c r="J39" s="191">
        <v>0</v>
      </c>
      <c r="K39" s="191">
        <v>0</v>
      </c>
      <c r="L39" s="340"/>
      <c r="M39" s="192">
        <v>0</v>
      </c>
      <c r="N39" s="192">
        <v>0</v>
      </c>
      <c r="O39" s="192">
        <v>0</v>
      </c>
      <c r="P39" s="346">
        <v>0</v>
      </c>
      <c r="Q39" s="187"/>
    </row>
    <row r="40" spans="1:17" ht="37.5" customHeight="1">
      <c r="A40" s="184"/>
      <c r="B40" s="185"/>
      <c r="C40" s="186" t="s">
        <v>212</v>
      </c>
      <c r="D40" s="194"/>
      <c r="E40" s="190">
        <f t="shared" si="4"/>
        <v>0</v>
      </c>
      <c r="F40" s="191">
        <v>0</v>
      </c>
      <c r="G40" s="191">
        <v>0</v>
      </c>
      <c r="H40" s="340"/>
      <c r="I40" s="190">
        <f t="shared" si="5"/>
        <v>0</v>
      </c>
      <c r="J40" s="191">
        <v>0</v>
      </c>
      <c r="K40" s="191">
        <v>0</v>
      </c>
      <c r="L40" s="340"/>
      <c r="M40" s="192">
        <v>0</v>
      </c>
      <c r="N40" s="192">
        <v>0</v>
      </c>
      <c r="O40" s="192">
        <v>0</v>
      </c>
      <c r="P40" s="346">
        <v>0</v>
      </c>
      <c r="Q40" s="187"/>
    </row>
    <row r="41" spans="1:17" ht="20.100000000000001" customHeight="1">
      <c r="A41" s="184"/>
      <c r="B41" s="181" t="s">
        <v>218</v>
      </c>
      <c r="C41" s="193"/>
      <c r="D41" s="341"/>
      <c r="E41" s="342"/>
      <c r="F41" s="343"/>
      <c r="G41" s="343"/>
      <c r="H41" s="344"/>
      <c r="I41" s="342"/>
      <c r="J41" s="343"/>
      <c r="K41" s="343"/>
      <c r="L41" s="344"/>
      <c r="M41" s="345"/>
      <c r="N41" s="345"/>
      <c r="O41" s="345"/>
      <c r="P41" s="345"/>
      <c r="Q41" s="183"/>
    </row>
    <row r="42" spans="1:17" ht="37.5" customHeight="1">
      <c r="A42" s="184"/>
      <c r="B42" s="195"/>
      <c r="C42" s="186" t="s">
        <v>212</v>
      </c>
      <c r="D42" s="194"/>
      <c r="E42" s="190">
        <f t="shared" ref="E42:E46" si="6">SUM(F42:H42)</f>
        <v>0</v>
      </c>
      <c r="F42" s="191">
        <v>0</v>
      </c>
      <c r="G42" s="191">
        <v>0</v>
      </c>
      <c r="H42" s="340"/>
      <c r="I42" s="190">
        <f t="shared" ref="I42:I46" si="7">SUM(J42:L42)</f>
        <v>0</v>
      </c>
      <c r="J42" s="191">
        <v>0</v>
      </c>
      <c r="K42" s="191">
        <v>0</v>
      </c>
      <c r="L42" s="340"/>
      <c r="M42" s="192">
        <v>0</v>
      </c>
      <c r="N42" s="192">
        <v>0</v>
      </c>
      <c r="O42" s="192">
        <v>0</v>
      </c>
      <c r="P42" s="192">
        <v>0</v>
      </c>
      <c r="Q42" s="187"/>
    </row>
    <row r="43" spans="1:17" ht="37.5" customHeight="1">
      <c r="A43" s="184"/>
      <c r="B43" s="195"/>
      <c r="C43" s="186" t="s">
        <v>212</v>
      </c>
      <c r="D43" s="194"/>
      <c r="E43" s="190">
        <f t="shared" si="6"/>
        <v>0</v>
      </c>
      <c r="F43" s="191">
        <v>0</v>
      </c>
      <c r="G43" s="191">
        <v>0</v>
      </c>
      <c r="H43" s="340"/>
      <c r="I43" s="190">
        <f t="shared" si="7"/>
        <v>0</v>
      </c>
      <c r="J43" s="191">
        <v>0</v>
      </c>
      <c r="K43" s="191">
        <v>0</v>
      </c>
      <c r="L43" s="340"/>
      <c r="M43" s="192">
        <v>0</v>
      </c>
      <c r="N43" s="192">
        <v>0</v>
      </c>
      <c r="O43" s="192">
        <v>0</v>
      </c>
      <c r="P43" s="192">
        <v>0</v>
      </c>
      <c r="Q43" s="187"/>
    </row>
    <row r="44" spans="1:17" ht="37.5" customHeight="1">
      <c r="A44" s="184"/>
      <c r="B44" s="195"/>
      <c r="C44" s="186" t="s">
        <v>212</v>
      </c>
      <c r="D44" s="194"/>
      <c r="E44" s="190">
        <f t="shared" si="6"/>
        <v>0</v>
      </c>
      <c r="F44" s="191">
        <v>0</v>
      </c>
      <c r="G44" s="191">
        <v>0</v>
      </c>
      <c r="H44" s="340"/>
      <c r="I44" s="190">
        <f t="shared" si="7"/>
        <v>0</v>
      </c>
      <c r="J44" s="191">
        <v>0</v>
      </c>
      <c r="K44" s="191">
        <v>0</v>
      </c>
      <c r="L44" s="340"/>
      <c r="M44" s="192">
        <v>0</v>
      </c>
      <c r="N44" s="192">
        <v>0</v>
      </c>
      <c r="O44" s="192">
        <v>0</v>
      </c>
      <c r="P44" s="192">
        <v>0</v>
      </c>
      <c r="Q44" s="187"/>
    </row>
    <row r="45" spans="1:17" ht="37.5" customHeight="1">
      <c r="A45" s="184"/>
      <c r="B45" s="195"/>
      <c r="C45" s="186" t="s">
        <v>212</v>
      </c>
      <c r="D45" s="194"/>
      <c r="E45" s="190">
        <f t="shared" si="6"/>
        <v>0</v>
      </c>
      <c r="F45" s="191">
        <v>0</v>
      </c>
      <c r="G45" s="191">
        <v>0</v>
      </c>
      <c r="H45" s="340"/>
      <c r="I45" s="190">
        <f t="shared" si="7"/>
        <v>0</v>
      </c>
      <c r="J45" s="191">
        <v>0</v>
      </c>
      <c r="K45" s="191">
        <v>0</v>
      </c>
      <c r="L45" s="340"/>
      <c r="M45" s="192">
        <v>0</v>
      </c>
      <c r="N45" s="192">
        <v>0</v>
      </c>
      <c r="O45" s="192">
        <v>0</v>
      </c>
      <c r="P45" s="192">
        <v>0</v>
      </c>
      <c r="Q45" s="187"/>
    </row>
    <row r="46" spans="1:17" ht="37.5" customHeight="1">
      <c r="A46" s="184"/>
      <c r="B46" s="195"/>
      <c r="C46" s="186" t="s">
        <v>212</v>
      </c>
      <c r="D46" s="194"/>
      <c r="E46" s="190">
        <f t="shared" si="6"/>
        <v>0</v>
      </c>
      <c r="F46" s="191">
        <v>0</v>
      </c>
      <c r="G46" s="191">
        <v>0</v>
      </c>
      <c r="H46" s="340"/>
      <c r="I46" s="190">
        <f t="shared" si="7"/>
        <v>0</v>
      </c>
      <c r="J46" s="191">
        <v>0</v>
      </c>
      <c r="K46" s="191">
        <v>0</v>
      </c>
      <c r="L46" s="340"/>
      <c r="M46" s="192">
        <v>0</v>
      </c>
      <c r="N46" s="192">
        <v>0</v>
      </c>
      <c r="O46" s="192">
        <v>0</v>
      </c>
      <c r="P46" s="192">
        <v>0</v>
      </c>
      <c r="Q46" s="187"/>
    </row>
    <row r="47" spans="1:17" ht="20.100000000000001" customHeight="1">
      <c r="A47" s="184"/>
      <c r="B47" s="181" t="s">
        <v>219</v>
      </c>
      <c r="C47" s="193"/>
      <c r="D47" s="341"/>
      <c r="E47" s="342"/>
      <c r="F47" s="343"/>
      <c r="G47" s="343"/>
      <c r="H47" s="344"/>
      <c r="I47" s="342"/>
      <c r="J47" s="343"/>
      <c r="K47" s="343"/>
      <c r="L47" s="344"/>
      <c r="M47" s="345"/>
      <c r="N47" s="345"/>
      <c r="O47" s="345"/>
      <c r="P47" s="345"/>
      <c r="Q47" s="183"/>
    </row>
    <row r="48" spans="1:17" ht="37.5" customHeight="1">
      <c r="A48" s="184"/>
      <c r="B48" s="195"/>
      <c r="C48" s="186" t="s">
        <v>220</v>
      </c>
      <c r="D48" s="194"/>
      <c r="E48" s="190">
        <f t="shared" ref="E48:E52" si="8">SUM(F48:H48)</f>
        <v>8182499.52258904</v>
      </c>
      <c r="F48" s="191">
        <v>1472301.52258904</v>
      </c>
      <c r="G48" s="191">
        <v>6710198</v>
      </c>
      <c r="H48" s="340"/>
      <c r="I48" s="190">
        <f t="shared" ref="I48:I52" si="9">SUM(J48:L48)</f>
        <v>12764999.522589039</v>
      </c>
      <c r="J48" s="191">
        <v>1472301.52258904</v>
      </c>
      <c r="K48" s="191">
        <v>11292698</v>
      </c>
      <c r="L48" s="340"/>
      <c r="M48" s="192">
        <v>13147950</v>
      </c>
      <c r="N48" s="192">
        <v>13542388.5</v>
      </c>
      <c r="O48" s="192">
        <v>13948660.155000001</v>
      </c>
      <c r="P48" s="192">
        <v>14367119.959650002</v>
      </c>
      <c r="Q48" s="187" t="s">
        <v>221</v>
      </c>
    </row>
    <row r="49" spans="1:17" ht="37.5" customHeight="1">
      <c r="A49" s="184"/>
      <c r="B49" s="185"/>
      <c r="C49" s="186"/>
      <c r="D49" s="194"/>
      <c r="E49" s="190">
        <f t="shared" si="8"/>
        <v>0</v>
      </c>
      <c r="F49" s="191">
        <v>0</v>
      </c>
      <c r="G49" s="191">
        <v>0</v>
      </c>
      <c r="H49" s="340"/>
      <c r="I49" s="190">
        <f t="shared" si="9"/>
        <v>0</v>
      </c>
      <c r="J49" s="191">
        <v>0</v>
      </c>
      <c r="K49" s="191">
        <v>0</v>
      </c>
      <c r="L49" s="340"/>
      <c r="M49" s="192">
        <v>0</v>
      </c>
      <c r="N49" s="192">
        <v>0</v>
      </c>
      <c r="O49" s="192">
        <v>0</v>
      </c>
      <c r="P49" s="192">
        <v>0</v>
      </c>
      <c r="Q49" s="187"/>
    </row>
    <row r="50" spans="1:17" ht="37.5" customHeight="1">
      <c r="A50" s="184"/>
      <c r="B50" s="185"/>
      <c r="C50" s="186"/>
      <c r="D50" s="194"/>
      <c r="E50" s="190">
        <f t="shared" si="8"/>
        <v>0</v>
      </c>
      <c r="F50" s="191">
        <v>0</v>
      </c>
      <c r="G50" s="191">
        <v>0</v>
      </c>
      <c r="H50" s="340"/>
      <c r="I50" s="190">
        <f t="shared" si="9"/>
        <v>0</v>
      </c>
      <c r="J50" s="191">
        <v>0</v>
      </c>
      <c r="K50" s="191">
        <v>0</v>
      </c>
      <c r="L50" s="340"/>
      <c r="M50" s="192">
        <v>0</v>
      </c>
      <c r="N50" s="192">
        <v>0</v>
      </c>
      <c r="O50" s="192">
        <v>0</v>
      </c>
      <c r="P50" s="192">
        <v>0</v>
      </c>
      <c r="Q50" s="187"/>
    </row>
    <row r="51" spans="1:17" ht="37.5" customHeight="1">
      <c r="A51" s="184"/>
      <c r="B51" s="185"/>
      <c r="C51" s="186"/>
      <c r="D51" s="194"/>
      <c r="E51" s="190">
        <f t="shared" si="8"/>
        <v>0</v>
      </c>
      <c r="F51" s="191">
        <v>0</v>
      </c>
      <c r="G51" s="191">
        <v>0</v>
      </c>
      <c r="H51" s="340"/>
      <c r="I51" s="190">
        <f t="shared" si="9"/>
        <v>0</v>
      </c>
      <c r="J51" s="191">
        <v>0</v>
      </c>
      <c r="K51" s="191">
        <v>0</v>
      </c>
      <c r="L51" s="340"/>
      <c r="M51" s="192">
        <v>0</v>
      </c>
      <c r="N51" s="192">
        <v>0</v>
      </c>
      <c r="O51" s="192">
        <v>0</v>
      </c>
      <c r="P51" s="192">
        <v>0</v>
      </c>
      <c r="Q51" s="187"/>
    </row>
    <row r="52" spans="1:17" ht="37.5" customHeight="1">
      <c r="A52" s="184"/>
      <c r="B52" s="185"/>
      <c r="C52" s="186"/>
      <c r="D52" s="194"/>
      <c r="E52" s="190">
        <f t="shared" si="8"/>
        <v>0</v>
      </c>
      <c r="F52" s="191">
        <v>0</v>
      </c>
      <c r="G52" s="191">
        <v>0</v>
      </c>
      <c r="H52" s="340"/>
      <c r="I52" s="190">
        <f t="shared" si="9"/>
        <v>0</v>
      </c>
      <c r="J52" s="191">
        <v>0</v>
      </c>
      <c r="K52" s="191">
        <v>0</v>
      </c>
      <c r="L52" s="340"/>
      <c r="M52" s="192">
        <v>0</v>
      </c>
      <c r="N52" s="192">
        <v>0</v>
      </c>
      <c r="O52" s="192">
        <v>0</v>
      </c>
      <c r="P52" s="192">
        <v>0</v>
      </c>
      <c r="Q52" s="187"/>
    </row>
    <row r="53" spans="1:17" ht="20.100000000000001" customHeight="1">
      <c r="A53" s="184"/>
      <c r="B53" s="181" t="s">
        <v>222</v>
      </c>
      <c r="C53" s="193"/>
      <c r="D53" s="341"/>
      <c r="E53" s="342"/>
      <c r="F53" s="343"/>
      <c r="G53" s="343"/>
      <c r="H53" s="344"/>
      <c r="I53" s="342"/>
      <c r="J53" s="343"/>
      <c r="K53" s="343"/>
      <c r="L53" s="344"/>
      <c r="M53" s="345"/>
      <c r="N53" s="345"/>
      <c r="O53" s="345"/>
      <c r="P53" s="345"/>
      <c r="Q53" s="183"/>
    </row>
    <row r="54" spans="1:17" ht="37.5" customHeight="1">
      <c r="A54" s="184"/>
      <c r="B54" s="185"/>
      <c r="C54" s="186" t="s">
        <v>212</v>
      </c>
      <c r="D54" s="194"/>
      <c r="E54" s="190">
        <f t="shared" ref="E54:E58" si="10">SUM(F54:H54)</f>
        <v>0</v>
      </c>
      <c r="F54" s="191">
        <v>0</v>
      </c>
      <c r="G54" s="191">
        <v>0</v>
      </c>
      <c r="H54" s="340"/>
      <c r="I54" s="190">
        <f t="shared" ref="I54:I58" si="11">SUM(J54:L54)</f>
        <v>0</v>
      </c>
      <c r="J54" s="191">
        <v>0</v>
      </c>
      <c r="K54" s="191">
        <v>0</v>
      </c>
      <c r="L54" s="340"/>
      <c r="M54" s="192">
        <v>0</v>
      </c>
      <c r="N54" s="192">
        <v>0</v>
      </c>
      <c r="O54" s="192">
        <v>0</v>
      </c>
      <c r="P54" s="192">
        <v>0</v>
      </c>
      <c r="Q54" s="187"/>
    </row>
    <row r="55" spans="1:17" ht="37.5" customHeight="1">
      <c r="A55" s="184"/>
      <c r="B55" s="185"/>
      <c r="C55" s="186" t="s">
        <v>212</v>
      </c>
      <c r="D55" s="194"/>
      <c r="E55" s="190">
        <f t="shared" si="10"/>
        <v>0</v>
      </c>
      <c r="F55" s="191">
        <v>0</v>
      </c>
      <c r="G55" s="191">
        <v>0</v>
      </c>
      <c r="H55" s="340"/>
      <c r="I55" s="190">
        <f t="shared" si="11"/>
        <v>0</v>
      </c>
      <c r="J55" s="191">
        <v>0</v>
      </c>
      <c r="K55" s="191">
        <v>0</v>
      </c>
      <c r="L55" s="340"/>
      <c r="M55" s="192">
        <v>0</v>
      </c>
      <c r="N55" s="192">
        <v>0</v>
      </c>
      <c r="O55" s="192">
        <v>0</v>
      </c>
      <c r="P55" s="192">
        <v>0</v>
      </c>
      <c r="Q55" s="187"/>
    </row>
    <row r="56" spans="1:17" ht="37.5" customHeight="1">
      <c r="A56" s="184"/>
      <c r="B56" s="185"/>
      <c r="C56" s="186" t="s">
        <v>212</v>
      </c>
      <c r="D56" s="194"/>
      <c r="E56" s="190">
        <f t="shared" si="10"/>
        <v>0</v>
      </c>
      <c r="F56" s="191">
        <v>0</v>
      </c>
      <c r="G56" s="191">
        <v>0</v>
      </c>
      <c r="H56" s="340"/>
      <c r="I56" s="190">
        <f t="shared" si="11"/>
        <v>0</v>
      </c>
      <c r="J56" s="191">
        <v>0</v>
      </c>
      <c r="K56" s="191">
        <v>0</v>
      </c>
      <c r="L56" s="340"/>
      <c r="M56" s="192">
        <v>0</v>
      </c>
      <c r="N56" s="192">
        <v>0</v>
      </c>
      <c r="O56" s="192">
        <v>0</v>
      </c>
      <c r="P56" s="192">
        <v>0</v>
      </c>
      <c r="Q56" s="187"/>
    </row>
    <row r="57" spans="1:17" ht="37.5" customHeight="1">
      <c r="A57" s="184"/>
      <c r="B57" s="185"/>
      <c r="C57" s="186" t="s">
        <v>212</v>
      </c>
      <c r="D57" s="194"/>
      <c r="E57" s="190">
        <f t="shared" si="10"/>
        <v>0</v>
      </c>
      <c r="F57" s="191">
        <v>0</v>
      </c>
      <c r="G57" s="191">
        <v>0</v>
      </c>
      <c r="H57" s="340"/>
      <c r="I57" s="190">
        <f t="shared" si="11"/>
        <v>0</v>
      </c>
      <c r="J57" s="191">
        <v>0</v>
      </c>
      <c r="K57" s="191">
        <v>0</v>
      </c>
      <c r="L57" s="340"/>
      <c r="M57" s="192">
        <v>0</v>
      </c>
      <c r="N57" s="192">
        <v>0</v>
      </c>
      <c r="O57" s="192">
        <v>0</v>
      </c>
      <c r="P57" s="192">
        <v>0</v>
      </c>
      <c r="Q57" s="187"/>
    </row>
    <row r="58" spans="1:17" ht="37.5" customHeight="1" thickBot="1">
      <c r="A58" s="184"/>
      <c r="B58" s="185"/>
      <c r="C58" s="186" t="s">
        <v>212</v>
      </c>
      <c r="D58" s="194"/>
      <c r="E58" s="190">
        <f t="shared" si="10"/>
        <v>0</v>
      </c>
      <c r="F58" s="191">
        <v>0</v>
      </c>
      <c r="G58" s="191">
        <v>0</v>
      </c>
      <c r="H58" s="340"/>
      <c r="I58" s="190">
        <f t="shared" si="11"/>
        <v>0</v>
      </c>
      <c r="J58" s="191">
        <v>0</v>
      </c>
      <c r="K58" s="191">
        <v>0</v>
      </c>
      <c r="L58" s="340"/>
      <c r="M58" s="192">
        <v>0</v>
      </c>
      <c r="N58" s="192">
        <v>0</v>
      </c>
      <c r="O58" s="192">
        <v>0</v>
      </c>
      <c r="P58" s="192">
        <v>0</v>
      </c>
      <c r="Q58" s="187"/>
    </row>
    <row r="59" spans="1:17" ht="15.6">
      <c r="B59" s="196" t="s">
        <v>223</v>
      </c>
      <c r="C59" s="197"/>
      <c r="D59" s="347"/>
      <c r="E59" s="348">
        <f>SUM(E12:E58)</f>
        <v>21823181.774113141</v>
      </c>
      <c r="F59" s="349">
        <f>SUM(F12:F58)</f>
        <v>-7849249.9999999991</v>
      </c>
      <c r="G59" s="349">
        <f>SUM(G12:G58)</f>
        <v>23529505.536556482</v>
      </c>
      <c r="H59" s="350">
        <f>SUM(H12:H58)</f>
        <v>6142926.2375566596</v>
      </c>
      <c r="I59" s="348">
        <f t="shared" ref="I59:P59" si="12">SUM(I12:I58)</f>
        <v>50714929.446265399</v>
      </c>
      <c r="J59" s="349">
        <f t="shared" si="12"/>
        <v>-14149250</v>
      </c>
      <c r="K59" s="349">
        <f t="shared" si="12"/>
        <v>52355364.673874848</v>
      </c>
      <c r="L59" s="350">
        <f t="shared" si="12"/>
        <v>12508814.77239055</v>
      </c>
      <c r="M59" s="351">
        <f t="shared" si="12"/>
        <v>78068856.714366481</v>
      </c>
      <c r="N59" s="351">
        <f t="shared" si="12"/>
        <v>104592393.44596611</v>
      </c>
      <c r="O59" s="351">
        <f t="shared" si="12"/>
        <v>131779162.31410784</v>
      </c>
      <c r="P59" s="351">
        <f t="shared" si="12"/>
        <v>159651327.05962995</v>
      </c>
      <c r="Q59" s="198"/>
    </row>
    <row r="60" spans="1:17" ht="15.6">
      <c r="B60" s="199"/>
      <c r="C60" s="200"/>
      <c r="D60" s="332"/>
      <c r="E60" s="332"/>
      <c r="F60" s="332"/>
      <c r="G60" s="332"/>
      <c r="H60" s="332"/>
      <c r="I60" s="332"/>
      <c r="J60" s="332"/>
      <c r="K60" s="332"/>
      <c r="L60" s="332"/>
      <c r="M60" s="332"/>
      <c r="N60" s="332"/>
      <c r="O60" s="332"/>
      <c r="P60" s="332"/>
      <c r="Q60" s="332"/>
    </row>
    <row r="61" spans="1:17" ht="15.6">
      <c r="B61" s="201"/>
      <c r="C61" s="200"/>
      <c r="D61" s="201"/>
      <c r="E61" s="201"/>
      <c r="F61" s="201"/>
      <c r="G61" s="201"/>
      <c r="H61" s="201"/>
      <c r="I61" s="202"/>
      <c r="J61" s="203"/>
      <c r="K61" s="203"/>
      <c r="L61" s="204"/>
      <c r="M61" s="203"/>
      <c r="N61" s="203"/>
      <c r="O61" s="203"/>
    </row>
    <row r="62" spans="1:17" ht="66" customHeight="1">
      <c r="B62" s="201"/>
      <c r="I62" s="450" t="s">
        <v>224</v>
      </c>
      <c r="J62" s="451"/>
      <c r="K62" s="206"/>
    </row>
    <row r="63" spans="1:17" ht="15.6">
      <c r="I63" s="207" t="s">
        <v>173</v>
      </c>
      <c r="J63" s="208" t="s">
        <v>174</v>
      </c>
      <c r="K63" s="204"/>
    </row>
    <row r="64" spans="1:17" ht="15.6">
      <c r="I64" s="352">
        <f>G59-('2-Revenue'!E24-'2-Revenue'!C24)</f>
        <v>-4359468.1310723424</v>
      </c>
      <c r="J64" s="353">
        <f>K59-('2-Revenue'!G24-'2-Revenue'!C24)</f>
        <v>-5253314.5800520852</v>
      </c>
      <c r="K64" s="209"/>
    </row>
    <row r="65" spans="6:10" ht="69.75" customHeight="1">
      <c r="G65" s="210"/>
      <c r="H65" s="211" t="s">
        <v>225</v>
      </c>
      <c r="I65" s="212"/>
      <c r="J65" s="213"/>
    </row>
    <row r="69" spans="6:10">
      <c r="F69" s="216"/>
    </row>
    <row r="72" spans="6:10">
      <c r="F72" s="214"/>
    </row>
    <row r="73" spans="6:10">
      <c r="F73" s="214"/>
    </row>
    <row r="74" spans="6:10">
      <c r="F74" s="215"/>
      <c r="G74" s="216"/>
      <c r="H74" s="215"/>
    </row>
    <row r="75" spans="6:10">
      <c r="G75" s="215"/>
    </row>
  </sheetData>
  <sheetProtection insertRows="0" selectLockedCells="1" selectUnlockedCells="1"/>
  <mergeCells count="9">
    <mergeCell ref="I62:J62"/>
    <mergeCell ref="A2:J2"/>
    <mergeCell ref="A3:Q3"/>
    <mergeCell ref="B4:D4"/>
    <mergeCell ref="E8:P8"/>
    <mergeCell ref="B9:C9"/>
    <mergeCell ref="E9:H9"/>
    <mergeCell ref="I9:L9"/>
    <mergeCell ref="Q9:Q10"/>
  </mergeCells>
  <pageMargins left="0.7" right="0.45" top="0.25" bottom="0.5" header="0" footer="0.15"/>
  <pageSetup scale="33"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415EC-D282-43ED-AE41-F248B8A72148}">
  <sheetPr>
    <tabColor theme="9" tint="0.79998168889431442"/>
  </sheetPr>
  <dimension ref="A1:T40"/>
  <sheetViews>
    <sheetView topLeftCell="A3" zoomScale="75" zoomScaleNormal="75" workbookViewId="0">
      <selection activeCell="A3" sqref="A3"/>
    </sheetView>
  </sheetViews>
  <sheetFormatPr defaultColWidth="8.85546875" defaultRowHeight="12.6"/>
  <cols>
    <col min="1" max="1" width="8.85546875" style="40"/>
    <col min="2" max="2" width="47.42578125" style="37" customWidth="1"/>
    <col min="3" max="4" width="20.42578125" style="37" bestFit="1" customWidth="1"/>
    <col min="5" max="5" width="8.5703125" style="37" bestFit="1" customWidth="1"/>
    <col min="6" max="6" width="16.42578125" style="37" customWidth="1"/>
    <col min="7" max="7" width="8.42578125" style="37" customWidth="1"/>
    <col min="8" max="8" width="16.42578125" style="37" customWidth="1"/>
    <col min="9" max="9" width="12.5703125" style="37" bestFit="1" customWidth="1"/>
    <col min="10" max="10" width="16.42578125" style="37" customWidth="1"/>
    <col min="11" max="11" width="14.5703125" style="37" customWidth="1"/>
    <col min="12" max="12" width="16.42578125" style="37" customWidth="1"/>
    <col min="13" max="13" width="8.5703125" style="37" bestFit="1" customWidth="1"/>
    <col min="14" max="14" width="16.42578125" style="37" customWidth="1"/>
    <col min="15" max="15" width="7.5703125" style="37" customWidth="1"/>
    <col min="16" max="16" width="16.42578125" style="37" customWidth="1"/>
    <col min="17" max="17" width="7" style="37" customWidth="1"/>
    <col min="18" max="18" width="13.85546875" style="37" bestFit="1" customWidth="1"/>
    <col min="19" max="19" width="15.5703125" style="37" bestFit="1" customWidth="1"/>
    <col min="20" max="20" width="8.85546875" style="40"/>
    <col min="21" max="16384" width="8.85546875" style="37"/>
  </cols>
  <sheetData>
    <row r="1" spans="1:20" ht="22.5">
      <c r="A1" s="237" t="s">
        <v>226</v>
      </c>
      <c r="B1" s="238"/>
      <c r="C1" s="238"/>
      <c r="D1" s="238"/>
      <c r="E1" s="238"/>
      <c r="F1" s="238"/>
      <c r="G1" s="238"/>
      <c r="H1" s="239"/>
      <c r="I1" s="239"/>
      <c r="J1" s="239"/>
      <c r="K1" s="239"/>
      <c r="L1" s="239"/>
      <c r="M1" s="239"/>
      <c r="N1" s="239"/>
      <c r="O1" s="239"/>
      <c r="P1" s="239"/>
      <c r="Q1" s="239"/>
      <c r="R1" s="239"/>
      <c r="S1" s="239"/>
      <c r="T1" s="240"/>
    </row>
    <row r="2" spans="1:20" ht="22.5">
      <c r="A2" s="465" t="str">
        <f>'Institution ID'!C3</f>
        <v>George Mason University</v>
      </c>
      <c r="B2" s="452"/>
      <c r="C2" s="452"/>
      <c r="D2" s="452"/>
      <c r="E2" s="452"/>
      <c r="F2" s="452"/>
      <c r="G2" s="452"/>
      <c r="H2" s="40"/>
      <c r="I2" s="40"/>
      <c r="J2" s="40"/>
      <c r="K2" s="40"/>
      <c r="L2" s="40"/>
      <c r="M2" s="40"/>
      <c r="N2" s="40"/>
      <c r="O2" s="40"/>
      <c r="P2" s="40"/>
      <c r="Q2" s="40"/>
      <c r="R2" s="40"/>
      <c r="S2" s="40"/>
      <c r="T2" s="241"/>
    </row>
    <row r="3" spans="1:20" ht="12.75" customHeight="1">
      <c r="A3" s="466" t="s">
        <v>227</v>
      </c>
      <c r="B3" s="467"/>
      <c r="C3" s="467"/>
      <c r="D3" s="467"/>
      <c r="E3" s="467"/>
      <c r="F3" s="467"/>
      <c r="G3" s="467"/>
      <c r="H3" s="467"/>
      <c r="I3" s="467"/>
      <c r="J3" s="467"/>
      <c r="K3" s="467"/>
      <c r="L3" s="467"/>
      <c r="M3" s="467"/>
      <c r="N3" s="467"/>
      <c r="O3" s="467"/>
      <c r="P3" s="467"/>
      <c r="Q3" s="467"/>
      <c r="R3" s="467"/>
      <c r="S3" s="467"/>
      <c r="T3" s="241"/>
    </row>
    <row r="4" spans="1:20" ht="102.75" customHeight="1">
      <c r="A4" s="466"/>
      <c r="B4" s="467"/>
      <c r="C4" s="467"/>
      <c r="D4" s="467"/>
      <c r="E4" s="467"/>
      <c r="F4" s="467"/>
      <c r="G4" s="467"/>
      <c r="H4" s="467"/>
      <c r="I4" s="467"/>
      <c r="J4" s="467"/>
      <c r="K4" s="467"/>
      <c r="L4" s="467"/>
      <c r="M4" s="467"/>
      <c r="N4" s="467"/>
      <c r="O4" s="467"/>
      <c r="P4" s="467"/>
      <c r="Q4" s="467"/>
      <c r="R4" s="467"/>
      <c r="S4" s="467"/>
      <c r="T4" s="241"/>
    </row>
    <row r="5" spans="1:20">
      <c r="A5" s="242"/>
      <c r="B5" s="40"/>
      <c r="C5" s="40"/>
      <c r="D5" s="40"/>
      <c r="E5" s="40"/>
      <c r="F5" s="40"/>
      <c r="G5" s="40"/>
      <c r="H5" s="40"/>
      <c r="I5" s="40"/>
      <c r="J5" s="40"/>
      <c r="K5" s="40"/>
      <c r="L5" s="40"/>
      <c r="M5" s="40"/>
      <c r="N5" s="40"/>
      <c r="O5" s="40"/>
      <c r="P5" s="40"/>
      <c r="Q5" s="40"/>
      <c r="R5" s="40"/>
      <c r="S5" s="40"/>
      <c r="T5" s="241"/>
    </row>
    <row r="6" spans="1:20" s="40" customFormat="1" ht="13.5" thickBot="1">
      <c r="A6" s="242"/>
      <c r="R6" s="468" t="s">
        <v>228</v>
      </c>
      <c r="S6" s="468"/>
      <c r="T6" s="241"/>
    </row>
    <row r="7" spans="1:20" ht="12.75" customHeight="1">
      <c r="A7" s="242"/>
      <c r="B7" s="243" t="s">
        <v>229</v>
      </c>
      <c r="C7" s="244" t="s">
        <v>95</v>
      </c>
      <c r="D7" s="244" t="s">
        <v>96</v>
      </c>
      <c r="E7" s="245" t="s">
        <v>104</v>
      </c>
      <c r="F7" s="246" t="s">
        <v>173</v>
      </c>
      <c r="G7" s="245" t="s">
        <v>104</v>
      </c>
      <c r="H7" s="246" t="s">
        <v>174</v>
      </c>
      <c r="I7" s="245" t="s">
        <v>104</v>
      </c>
      <c r="J7" s="247" t="s">
        <v>175</v>
      </c>
      <c r="K7" s="245" t="s">
        <v>104</v>
      </c>
      <c r="L7" s="247" t="s">
        <v>176</v>
      </c>
      <c r="M7" s="245" t="s">
        <v>104</v>
      </c>
      <c r="N7" s="247" t="s">
        <v>177</v>
      </c>
      <c r="O7" s="245" t="s">
        <v>104</v>
      </c>
      <c r="P7" s="247" t="s">
        <v>178</v>
      </c>
      <c r="Q7" s="245" t="s">
        <v>104</v>
      </c>
      <c r="R7" s="248" t="s">
        <v>230</v>
      </c>
      <c r="S7" s="249" t="s">
        <v>231</v>
      </c>
      <c r="T7" s="241"/>
    </row>
    <row r="8" spans="1:20" ht="14.45">
      <c r="A8" s="242"/>
      <c r="B8" s="250" t="s">
        <v>232</v>
      </c>
      <c r="C8" s="251">
        <f>'2-Revenue'!B25</f>
        <v>223379000</v>
      </c>
      <c r="D8" s="251">
        <f>'2-Revenue'!C25</f>
        <v>234630287.8194167</v>
      </c>
      <c r="E8" s="252">
        <f>IF(C8=0,"%",D8/C8-1)</f>
        <v>5.0368601432617677E-2</v>
      </c>
      <c r="F8" s="251">
        <f>D8+'4-Academic-Financial'!H59</f>
        <v>240773214.05697337</v>
      </c>
      <c r="G8" s="252">
        <f>IF(D8=0,"%",F8/D8-1)</f>
        <v>2.6181301206452012E-2</v>
      </c>
      <c r="H8" s="251">
        <f>D8+'4-Academic-Financial'!L59</f>
        <v>247139102.59180725</v>
      </c>
      <c r="I8" s="252">
        <f>IF(F8=0,"%",H8/F8-1)</f>
        <v>2.6439355223822902E-2</v>
      </c>
      <c r="J8" s="251">
        <f>IFERROR(D8+'4-Academic-Financial'!L6*SUM('4-Academic-Financial'!M12:M18,'4-Academic-Financial'!M30),0)</f>
        <v>252711832.11194953</v>
      </c>
      <c r="K8" s="252">
        <f>IF(H8=0,"%",J8/H8-1)</f>
        <v>2.2548959115331169E-2</v>
      </c>
      <c r="L8" s="251">
        <f>IFERROR(D8+'4-Academic-Financial'!L6*SUM('4-Academic-Financial'!N12:N18, '4-Academic-Financial'!N30),0)</f>
        <v>259468583.29820433</v>
      </c>
      <c r="M8" s="252">
        <f>IF(J8=0,"%",L8/J8-1)</f>
        <v>2.6736979941887284E-2</v>
      </c>
      <c r="N8" s="251">
        <f>IFERROR(D8+'4-Academic-Financial'!L6*SUM('4-Academic-Financial'!O12:O18, '4-Academic-Financial'!O30),0)</f>
        <v>266360472.91410238</v>
      </c>
      <c r="O8" s="252">
        <f>IF(L8=0,"%",N8/L8-1)</f>
        <v>2.656155719622233E-2</v>
      </c>
      <c r="P8" s="251">
        <f>IFERROR(D8+'4-Academic-Financial'!L6*SUM('4-Academic-Financial'!P12:P18,'4-Academic-Financial'!P30),0)</f>
        <v>273390203.91079366</v>
      </c>
      <c r="Q8" s="252">
        <f>IF(N8=0,"%",P8/N8-1)</f>
        <v>2.639179499789468E-2</v>
      </c>
      <c r="R8" s="253">
        <f>IF(C8=0,"%",P8/C8-1)</f>
        <v>0.22388498431273152</v>
      </c>
      <c r="S8" s="254">
        <f>IFERROR(R8/7,"%")</f>
        <v>3.1983569187533076E-2</v>
      </c>
      <c r="T8" s="241"/>
    </row>
    <row r="9" spans="1:20" ht="14.45">
      <c r="A9" s="242"/>
      <c r="B9" s="255" t="s">
        <v>233</v>
      </c>
      <c r="C9" s="256">
        <f>'3-Financial Aid'!I18</f>
        <v>0.1042536384069056</v>
      </c>
      <c r="D9" s="256">
        <f>'3-Financial Aid'!I31</f>
        <v>0.10466408330626967</v>
      </c>
      <c r="E9" s="257" t="str">
        <f>IF(OR(C9=0,C9="%"),"%",_xlfn.CONCAT(ROUND(D9-C9,5)*100,"pt"))</f>
        <v>0.041pt</v>
      </c>
      <c r="F9" s="256">
        <f>'3-Financial Aid'!I44</f>
        <v>0.11191138620610298</v>
      </c>
      <c r="G9" s="257" t="str">
        <f>IF(OR(D9=0,D9="%"),"%",_xlfn.CONCAT(ROUND(F9-D9,5)*100,"pt"))</f>
        <v>0.725pt</v>
      </c>
      <c r="H9" s="256">
        <f>'3-Financial Aid'!I57</f>
        <v>0.11874553027111941</v>
      </c>
      <c r="I9" s="257" t="str">
        <f>IF(OR(F9=0,F9="%"),"%",_xlfn.CONCAT(ROUND(H9-F9,5)*100,"pt"))</f>
        <v>0.683pt</v>
      </c>
      <c r="J9" s="256">
        <f>'3-Financial Aid'!I70</f>
        <v>0.11698243793065104</v>
      </c>
      <c r="K9" s="257" t="str">
        <f>IF(OR(H9=0,H9="%"),"%",_xlfn.CONCAT(ROUND(J9-H9,5)*100,"pt"))</f>
        <v>-0.176pt</v>
      </c>
      <c r="L9" s="256">
        <f>'3-Financial Aid'!I83</f>
        <v>0.11524522449135642</v>
      </c>
      <c r="M9" s="257" t="str">
        <f>IF(OR(J9=0,J9="%"),"%",_xlfn.CONCAT(ROUND(L9-J9,5)*100,"pt"))</f>
        <v>-0.174pt</v>
      </c>
      <c r="N9" s="256">
        <f>'3-Financial Aid'!I96</f>
        <v>0.11353351697914683</v>
      </c>
      <c r="O9" s="257" t="str">
        <f>IF(OR(L9=0,L9="%"),"%",_xlfn.CONCAT(ROUND(N9-L9,5)*100,"pt"))</f>
        <v>-0.171pt</v>
      </c>
      <c r="P9" s="256">
        <f>'3-Financial Aid'!I109</f>
        <v>0.1118469476135312</v>
      </c>
      <c r="Q9" s="257" t="str">
        <f>IF(OR(N9=0,N9="%"),"%",_xlfn.CONCAT(ROUND(P9-N9,5)*100,"pt"))</f>
        <v>-0.169pt</v>
      </c>
      <c r="R9" s="258" t="str">
        <f>IF(OR(C9=0,C9="%"),"%",_xlfn.CONCAT(ROUND(P9-C9,5)*100,"pt"))</f>
        <v>0.759pt</v>
      </c>
      <c r="S9" s="259" t="str">
        <f>IFERROR(R9/7,"%")</f>
        <v>%</v>
      </c>
      <c r="T9" s="241"/>
    </row>
    <row r="10" spans="1:20" ht="14.45">
      <c r="A10" s="242"/>
      <c r="B10" s="260" t="s">
        <v>234</v>
      </c>
      <c r="C10" s="261">
        <f>'2-Revenue'!B24</f>
        <v>507967999.2570951</v>
      </c>
      <c r="D10" s="261">
        <f>'2-Revenue'!C24</f>
        <v>527095666.97008461</v>
      </c>
      <c r="E10" s="262">
        <f t="shared" ref="E10:E18" si="0">IF(C10=0,"%",D10/C10-1)</f>
        <v>3.7655261238825677E-2</v>
      </c>
      <c r="F10" s="261">
        <f>'2-Revenue'!E24</f>
        <v>554984640.63771343</v>
      </c>
      <c r="G10" s="262">
        <f t="shared" ref="G10:Q18" si="1">IF(D10=0,"%",F10/D10-1)</f>
        <v>5.2910648702433116E-2</v>
      </c>
      <c r="H10" s="261">
        <f>'2-Revenue'!G24</f>
        <v>584704346.22401154</v>
      </c>
      <c r="I10" s="262">
        <f t="shared" ref="I10:Q18" si="2">IF(F10=0,"%",H10/F10-1)</f>
        <v>5.3550501059179245E-2</v>
      </c>
      <c r="J10" s="261">
        <f>'2-Revenue'!I24</f>
        <v>594448132.43291843</v>
      </c>
      <c r="K10" s="262">
        <f t="shared" si="2"/>
        <v>1.6664466874295902E-2</v>
      </c>
      <c r="L10" s="261">
        <f>'2-Revenue'!K24</f>
        <v>604340499.00372851</v>
      </c>
      <c r="M10" s="262">
        <f t="shared" si="2"/>
        <v>1.6641261080799774E-2</v>
      </c>
      <c r="N10" s="261">
        <f>'2-Revenue'!M24</f>
        <v>614383723.11324596</v>
      </c>
      <c r="O10" s="262">
        <f t="shared" si="2"/>
        <v>1.6618485979466913E-2</v>
      </c>
      <c r="P10" s="261">
        <f>'2-Revenue'!O24</f>
        <v>624580117.06535411</v>
      </c>
      <c r="Q10" s="262">
        <f t="shared" si="2"/>
        <v>1.6596132951635312E-2</v>
      </c>
      <c r="R10" s="263">
        <f>IF(C10=0,"%",P10/C10-1)</f>
        <v>0.22956587418657204</v>
      </c>
      <c r="S10" s="264">
        <f>IFERROR(R10/7,"%")</f>
        <v>3.2795124883796004E-2</v>
      </c>
      <c r="T10" s="241"/>
    </row>
    <row r="11" spans="1:20" ht="14.45">
      <c r="A11" s="242"/>
      <c r="B11" s="255" t="s">
        <v>235</v>
      </c>
      <c r="C11" s="265"/>
      <c r="D11" s="266">
        <f>D10-C10</f>
        <v>19127667.712989509</v>
      </c>
      <c r="E11" s="267"/>
      <c r="F11" s="266">
        <f>F10-D10</f>
        <v>27888973.667628825</v>
      </c>
      <c r="G11" s="267">
        <f t="shared" si="1"/>
        <v>0.45804360918971598</v>
      </c>
      <c r="H11" s="266">
        <f>H10-F10</f>
        <v>29719705.586298108</v>
      </c>
      <c r="I11" s="267">
        <f t="shared" si="2"/>
        <v>6.5643574427919571E-2</v>
      </c>
      <c r="J11" s="266">
        <f>J10-H10</f>
        <v>9743786.208906889</v>
      </c>
      <c r="K11" s="267">
        <f t="shared" si="2"/>
        <v>-0.67214391876751511</v>
      </c>
      <c r="L11" s="266">
        <f>L10-J10</f>
        <v>9892366.5708100796</v>
      </c>
      <c r="M11" s="267">
        <f t="shared" si="2"/>
        <v>1.5248729674238071E-2</v>
      </c>
      <c r="N11" s="266">
        <f>N10-L10</f>
        <v>10043224.109517455</v>
      </c>
      <c r="O11" s="267">
        <f t="shared" si="2"/>
        <v>1.5249893706175355E-2</v>
      </c>
      <c r="P11" s="266">
        <f>P10-N10</f>
        <v>10196393.952108145</v>
      </c>
      <c r="Q11" s="267">
        <f t="shared" si="2"/>
        <v>1.5251062897773782E-2</v>
      </c>
      <c r="R11" s="268">
        <f>IF(D11=0,"%",P11/D11-1)</f>
        <v>-0.46692957525690282</v>
      </c>
      <c r="S11" s="269"/>
      <c r="T11" s="241"/>
    </row>
    <row r="12" spans="1:20" ht="14.45">
      <c r="A12" s="242"/>
      <c r="B12" s="255" t="s">
        <v>236</v>
      </c>
      <c r="C12" s="265">
        <f>C10+C8</f>
        <v>731346999.2570951</v>
      </c>
      <c r="D12" s="265">
        <f>D10+D8</f>
        <v>761725954.78950131</v>
      </c>
      <c r="E12" s="267">
        <f t="shared" ref="E12" si="3">IF(C12=0,"%",D12/C12-1)</f>
        <v>4.1538360809937336E-2</v>
      </c>
      <c r="F12" s="265">
        <f>F10+F8</f>
        <v>795757854.69468677</v>
      </c>
      <c r="G12" s="267">
        <f t="shared" si="1"/>
        <v>4.4677353700767641E-2</v>
      </c>
      <c r="H12" s="265">
        <f>H10+H8</f>
        <v>831843448.81581879</v>
      </c>
      <c r="I12" s="267">
        <f t="shared" si="1"/>
        <v>4.5347455772179801E-2</v>
      </c>
      <c r="J12" s="265">
        <f>J10+J8</f>
        <v>847159964.54486799</v>
      </c>
      <c r="K12" s="267">
        <f t="shared" si="1"/>
        <v>1.8412738299319775E-2</v>
      </c>
      <c r="L12" s="265">
        <f>L10+L8</f>
        <v>863809082.30193281</v>
      </c>
      <c r="M12" s="267">
        <f t="shared" si="1"/>
        <v>1.9652861860639748E-2</v>
      </c>
      <c r="N12" s="265">
        <f>N10+N8</f>
        <v>880744196.02734828</v>
      </c>
      <c r="O12" s="267">
        <f t="shared" si="1"/>
        <v>1.9605158214226925E-2</v>
      </c>
      <c r="P12" s="265">
        <f>P10+P8</f>
        <v>897970320.97614777</v>
      </c>
      <c r="Q12" s="267">
        <f t="shared" si="1"/>
        <v>1.9558601721701985E-2</v>
      </c>
      <c r="R12" s="268">
        <f>IF(D12=0,"%",P12/D12-1)</f>
        <v>0.17886270689607375</v>
      </c>
      <c r="S12" s="269">
        <f>IFERROR(R12/7,"%")</f>
        <v>2.5551815270867678E-2</v>
      </c>
      <c r="T12" s="241"/>
    </row>
    <row r="13" spans="1:20" ht="14.45">
      <c r="A13" s="242"/>
      <c r="B13" s="270" t="s">
        <v>237</v>
      </c>
      <c r="C13" s="271">
        <f>IF(C8+C10=0,"%",C8/(C8+C10))</f>
        <v>0.30543504003832544</v>
      </c>
      <c r="D13" s="271">
        <f>IF(D8+D10=0,"%",D8/(D8+D10))</f>
        <v>0.30802454129878698</v>
      </c>
      <c r="E13" s="272" t="str">
        <f>IF(OR(C13=0,C13="%"),"%",_xlfn.CONCAT(ROUND(D13-C13,3)*100,"pt"))</f>
        <v>0.3pt</v>
      </c>
      <c r="F13" s="271">
        <f>IF(F8+F10=0,"%",F8/(F8+F10))</f>
        <v>0.30257095501665177</v>
      </c>
      <c r="G13" s="272" t="str">
        <f>IF(OR(D13=0,D13="%"),"%",_xlfn.CONCAT(ROUND(F13-D13,3)*100,"pt"))</f>
        <v>-0.5pt</v>
      </c>
      <c r="H13" s="271">
        <f>IF(H8+H10=0,"%",H8/(H8+H10))</f>
        <v>0.29709809332949033</v>
      </c>
      <c r="I13" s="272" t="str">
        <f>IF(OR(F13=0,F13="%"),"%",_xlfn.CONCAT(ROUND(H13-F13,3)*100,"pt"))</f>
        <v>-0.5pt</v>
      </c>
      <c r="J13" s="271">
        <f>IF(J8+J10=0,"%",J8/(J8+J10))</f>
        <v>0.29830473899662807</v>
      </c>
      <c r="K13" s="272" t="str">
        <f>IF(OR(H13=0,H13="%"),"%",_xlfn.CONCAT(ROUND(J13-H13,3)*100,"pt"))</f>
        <v>0.1pt</v>
      </c>
      <c r="L13" s="271">
        <f>IF(L8+L10=0,"%",L8/(L8+L10))</f>
        <v>0.30037723452357795</v>
      </c>
      <c r="M13" s="272" t="str">
        <f>IF(OR(J13=0,J13="%"),"%",_xlfn.CONCAT(ROUND(L13-J13,3)*100,"pt"))</f>
        <v>0.2pt</v>
      </c>
      <c r="N13" s="271">
        <f>IF(N8+N10=0,"%",N8/(N8+N10))</f>
        <v>0.30242660027229012</v>
      </c>
      <c r="O13" s="272" t="str">
        <f>IF(OR(L13=0,L13="%"),"%",_xlfn.CONCAT(ROUND(N13-L13,3)*100,"pt"))</f>
        <v>0.2pt</v>
      </c>
      <c r="P13" s="271">
        <f>IF(P8+P10=0,"%",P8/(P8+P10))</f>
        <v>0.30445349642914932</v>
      </c>
      <c r="Q13" s="272" t="str">
        <f>IF(OR(N13=0,N13="%"),"%",_xlfn.CONCAT(ROUND(P13-N13,3)*100,"pt"))</f>
        <v>0.2pt</v>
      </c>
      <c r="R13" s="273" t="str">
        <f>IF(OR(C13=0,C13="%"),"%",_xlfn.CONCAT(ROUND(P13-C13,3)*100,"pt"))</f>
        <v>-0.1pt</v>
      </c>
      <c r="S13" s="259" t="str">
        <f>IFERROR(R13/7,"%")</f>
        <v>%</v>
      </c>
      <c r="T13" s="241"/>
    </row>
    <row r="14" spans="1:20" ht="14.45">
      <c r="A14" s="242"/>
      <c r="B14" s="260" t="s">
        <v>238</v>
      </c>
      <c r="C14" s="261">
        <f>+'4-Academic-Financial'!D5</f>
        <v>772834355.19114387</v>
      </c>
      <c r="D14" s="261">
        <f>+'4-Academic-Financial'!D6</f>
        <v>792808137.93689895</v>
      </c>
      <c r="E14" s="262">
        <f t="shared" si="0"/>
        <v>2.5844843221048297E-2</v>
      </c>
      <c r="F14" s="261">
        <f>$D$14+F15-F16</f>
        <v>814631319.71101213</v>
      </c>
      <c r="G14" s="262">
        <f t="shared" si="1"/>
        <v>2.7526435123260695E-2</v>
      </c>
      <c r="H14" s="261">
        <f>$D$14+H15-H16</f>
        <v>843523067.38316441</v>
      </c>
      <c r="I14" s="262">
        <f t="shared" si="2"/>
        <v>3.546604086177485E-2</v>
      </c>
      <c r="J14" s="261">
        <f>$D$14+J15-J16</f>
        <v>870876994.65126538</v>
      </c>
      <c r="K14" s="262">
        <f t="shared" si="2"/>
        <v>3.2428191149484809E-2</v>
      </c>
      <c r="L14" s="261">
        <f>$D$14+L15-L16</f>
        <v>897400531.38286507</v>
      </c>
      <c r="M14" s="262">
        <f t="shared" si="2"/>
        <v>3.0456122844559452E-2</v>
      </c>
      <c r="N14" s="261">
        <f>$D$14+N15-N16</f>
        <v>924587300.25100684</v>
      </c>
      <c r="O14" s="262">
        <f t="shared" si="2"/>
        <v>3.0295022030182972E-2</v>
      </c>
      <c r="P14" s="261">
        <f>$D$14+P15-P16</f>
        <v>952459464.99652886</v>
      </c>
      <c r="Q14" s="262">
        <f t="shared" si="2"/>
        <v>3.0145519777261987E-2</v>
      </c>
      <c r="R14" s="263">
        <f>IF(C14=0,"%",P14/C14-1)</f>
        <v>0.23242381578774229</v>
      </c>
      <c r="S14" s="264">
        <f>IFERROR(R14/7,"%")</f>
        <v>3.3203402255391756E-2</v>
      </c>
      <c r="T14" s="241"/>
    </row>
    <row r="15" spans="1:20" ht="14.45">
      <c r="A15" s="242"/>
      <c r="B15" s="255" t="s">
        <v>239</v>
      </c>
      <c r="C15" s="265"/>
      <c r="D15" s="266"/>
      <c r="E15" s="267"/>
      <c r="F15" s="266">
        <f>+'4-Academic-Financial'!E59</f>
        <v>21823181.774113141</v>
      </c>
      <c r="G15" s="267"/>
      <c r="H15" s="266">
        <f>+'4-Academic-Financial'!I59</f>
        <v>50714929.446265399</v>
      </c>
      <c r="I15" s="267">
        <f t="shared" si="2"/>
        <v>1.3239017101724331</v>
      </c>
      <c r="J15" s="266">
        <f>+'4-Academic-Financial'!M59</f>
        <v>78068856.714366481</v>
      </c>
      <c r="K15" s="267">
        <f t="shared" si="2"/>
        <v>0.53936636739451083</v>
      </c>
      <c r="L15" s="266">
        <f>+'4-Academic-Financial'!N59</f>
        <v>104592393.44596611</v>
      </c>
      <c r="M15" s="267">
        <f t="shared" si="2"/>
        <v>0.3397454227957033</v>
      </c>
      <c r="N15" s="266">
        <f>+'4-Academic-Financial'!O59</f>
        <v>131779162.31410784</v>
      </c>
      <c r="O15" s="267">
        <f t="shared" si="2"/>
        <v>0.25993065052275321</v>
      </c>
      <c r="P15" s="266">
        <f>+'4-Academic-Financial'!P59</f>
        <v>159651327.05962995</v>
      </c>
      <c r="Q15" s="267">
        <f t="shared" si="2"/>
        <v>0.21150661649439106</v>
      </c>
      <c r="R15" s="268">
        <f>IF(F15=0,"%",P15/F15-1)</f>
        <v>6.3156759959269468</v>
      </c>
      <c r="S15" s="269"/>
      <c r="T15" s="241"/>
    </row>
    <row r="16" spans="1:20" ht="14.45">
      <c r="A16" s="242"/>
      <c r="B16" s="270" t="s">
        <v>240</v>
      </c>
      <c r="C16" s="274"/>
      <c r="D16" s="275"/>
      <c r="E16" s="276"/>
      <c r="F16" s="277">
        <v>0</v>
      </c>
      <c r="G16" s="276"/>
      <c r="H16" s="277">
        <v>0</v>
      </c>
      <c r="I16" s="276" t="str">
        <f t="shared" si="2"/>
        <v>%</v>
      </c>
      <c r="J16" s="277">
        <f>H16</f>
        <v>0</v>
      </c>
      <c r="K16" s="276"/>
      <c r="L16" s="277">
        <f>J16</f>
        <v>0</v>
      </c>
      <c r="M16" s="276"/>
      <c r="N16" s="277">
        <f>L16</f>
        <v>0</v>
      </c>
      <c r="O16" s="276"/>
      <c r="P16" s="277">
        <f>N16</f>
        <v>0</v>
      </c>
      <c r="Q16" s="276"/>
      <c r="R16" s="278"/>
      <c r="S16" s="259"/>
      <c r="T16" s="241"/>
    </row>
    <row r="17" spans="1:20" ht="14.45">
      <c r="A17" s="242"/>
      <c r="B17" s="279" t="s">
        <v>241</v>
      </c>
      <c r="C17" s="280">
        <f>C12-C14</f>
        <v>-41487355.934048772</v>
      </c>
      <c r="D17" s="280">
        <f>D12-D14</f>
        <v>-31082183.147397637</v>
      </c>
      <c r="E17" s="281">
        <f t="shared" si="0"/>
        <v>-0.25080346896996597</v>
      </c>
      <c r="F17" s="280">
        <f>F12-F14</f>
        <v>-18873465.016325355</v>
      </c>
      <c r="G17" s="281">
        <f t="shared" si="1"/>
        <v>-0.39278830811774756</v>
      </c>
      <c r="H17" s="280">
        <f>H12-H14</f>
        <v>-11679618.567345619</v>
      </c>
      <c r="I17" s="282">
        <f t="shared" si="2"/>
        <v>-0.38116193516967511</v>
      </c>
      <c r="J17" s="280">
        <f>J12-J14</f>
        <v>-23717030.10639739</v>
      </c>
      <c r="K17" s="282">
        <f t="shared" si="2"/>
        <v>1.030633960316691</v>
      </c>
      <c r="L17" s="280">
        <f>L12-L14</f>
        <v>-33591449.08093226</v>
      </c>
      <c r="M17" s="282">
        <f t="shared" si="2"/>
        <v>0.41634297929534436</v>
      </c>
      <c r="N17" s="280">
        <f>N12-N14</f>
        <v>-43843104.223658562</v>
      </c>
      <c r="O17" s="282">
        <f t="shared" si="2"/>
        <v>0.30518645140990719</v>
      </c>
      <c r="P17" s="280">
        <f>P12-P14</f>
        <v>-54489144.020381093</v>
      </c>
      <c r="Q17" s="282">
        <f t="shared" si="2"/>
        <v>0.24282130531664614</v>
      </c>
      <c r="R17" s="283">
        <f>IF(F17=0,"%",P17/F17-1)</f>
        <v>1.8870768548991159</v>
      </c>
      <c r="S17" s="284">
        <f>IFERROR(R17/7,"%")</f>
        <v>0.26958240784273085</v>
      </c>
      <c r="T17" s="241"/>
    </row>
    <row r="18" spans="1:20" ht="15" thickBot="1">
      <c r="A18" s="242"/>
      <c r="B18" s="285" t="s">
        <v>242</v>
      </c>
      <c r="C18" s="286">
        <f>C17</f>
        <v>-41487355.934048772</v>
      </c>
      <c r="D18" s="286">
        <f>D17-C17</f>
        <v>10405172.786651134</v>
      </c>
      <c r="E18" s="287">
        <f t="shared" si="0"/>
        <v>-1.2508034689699659</v>
      </c>
      <c r="F18" s="288">
        <f>F17-D17</f>
        <v>12208718.131072283</v>
      </c>
      <c r="G18" s="287">
        <f t="shared" si="1"/>
        <v>0.17333160932559699</v>
      </c>
      <c r="H18" s="288">
        <f>H17-F17</f>
        <v>7193846.4489797354</v>
      </c>
      <c r="I18" s="289">
        <f t="shared" si="2"/>
        <v>-0.41076152535041732</v>
      </c>
      <c r="J18" s="288">
        <f>J17-H17</f>
        <v>-12037411.539051771</v>
      </c>
      <c r="K18" s="289">
        <f t="shared" si="2"/>
        <v>-2.6732928099624607</v>
      </c>
      <c r="L18" s="288">
        <f>L17-J17</f>
        <v>-9874418.9745348692</v>
      </c>
      <c r="M18" s="289">
        <f t="shared" si="2"/>
        <v>-0.1796891763233085</v>
      </c>
      <c r="N18" s="288">
        <f>N17-L17</f>
        <v>-10251655.142726302</v>
      </c>
      <c r="O18" s="289">
        <f t="shared" si="2"/>
        <v>3.8203378767326601E-2</v>
      </c>
      <c r="P18" s="288">
        <f>P17-N17</f>
        <v>-10646039.796722531</v>
      </c>
      <c r="Q18" s="289">
        <f t="shared" si="2"/>
        <v>3.8470339521325947E-2</v>
      </c>
      <c r="R18" s="290">
        <f>IF(F18=0,"%",P18/F18-1)</f>
        <v>-1.8720030786547037</v>
      </c>
      <c r="S18" s="291">
        <f>IFERROR(R18/7,"%")</f>
        <v>-0.26742901123638624</v>
      </c>
      <c r="T18" s="241"/>
    </row>
    <row r="19" spans="1:20">
      <c r="A19" s="242"/>
      <c r="B19" s="40"/>
      <c r="C19" s="40"/>
      <c r="D19" s="40"/>
      <c r="E19" s="40"/>
      <c r="F19" s="40"/>
      <c r="G19" s="40"/>
      <c r="H19" s="40"/>
      <c r="I19" s="40"/>
      <c r="J19" s="40"/>
      <c r="K19" s="40"/>
      <c r="L19" s="40"/>
      <c r="M19" s="40"/>
      <c r="N19" s="40"/>
      <c r="O19" s="40"/>
      <c r="P19" s="40"/>
      <c r="Q19" s="40"/>
      <c r="R19" s="40"/>
      <c r="S19" s="40"/>
      <c r="T19" s="241"/>
    </row>
    <row r="20" spans="1:20" ht="12.95" thickBot="1">
      <c r="A20" s="242"/>
      <c r="B20" s="40"/>
      <c r="C20" s="40"/>
      <c r="D20" s="40"/>
      <c r="E20" s="40"/>
      <c r="F20" s="40"/>
      <c r="G20" s="40"/>
      <c r="H20" s="40"/>
      <c r="I20" s="40"/>
      <c r="J20" s="292"/>
      <c r="K20" s="40"/>
      <c r="L20" s="40"/>
      <c r="M20" s="40"/>
      <c r="N20" s="40"/>
      <c r="O20" s="40"/>
      <c r="P20" s="40"/>
      <c r="Q20" s="40"/>
      <c r="R20" s="40"/>
      <c r="S20" s="40"/>
      <c r="T20" s="241"/>
    </row>
    <row r="21" spans="1:20" s="40" customFormat="1" ht="13.5" thickBot="1">
      <c r="A21" s="242"/>
      <c r="B21" s="293" t="s">
        <v>243</v>
      </c>
      <c r="C21" s="294"/>
      <c r="D21" s="294"/>
      <c r="E21" s="294"/>
      <c r="F21" s="294"/>
      <c r="G21" s="294"/>
      <c r="H21" s="294"/>
      <c r="I21" s="294"/>
      <c r="J21" s="294"/>
      <c r="K21" s="294"/>
      <c r="L21" s="294"/>
      <c r="M21" s="294"/>
      <c r="N21" s="294"/>
      <c r="O21" s="294"/>
      <c r="P21" s="294"/>
      <c r="Q21" s="294"/>
      <c r="R21" s="295"/>
      <c r="S21" s="296"/>
      <c r="T21" s="241"/>
    </row>
    <row r="22" spans="1:20" s="40" customFormat="1" ht="12.95">
      <c r="A22" s="242"/>
      <c r="B22" s="297"/>
      <c r="C22" s="298" t="s">
        <v>95</v>
      </c>
      <c r="D22" s="298" t="s">
        <v>96</v>
      </c>
      <c r="E22" s="75" t="s">
        <v>104</v>
      </c>
      <c r="F22" s="299" t="s">
        <v>173</v>
      </c>
      <c r="G22" s="75" t="s">
        <v>104</v>
      </c>
      <c r="H22" s="299" t="s">
        <v>174</v>
      </c>
      <c r="I22" s="75" t="s">
        <v>104</v>
      </c>
      <c r="J22" s="300" t="s">
        <v>175</v>
      </c>
      <c r="K22" s="75" t="s">
        <v>104</v>
      </c>
      <c r="L22" s="300" t="s">
        <v>176</v>
      </c>
      <c r="M22" s="75" t="s">
        <v>104</v>
      </c>
      <c r="N22" s="300" t="s">
        <v>177</v>
      </c>
      <c r="O22" s="75" t="s">
        <v>104</v>
      </c>
      <c r="P22" s="300" t="s">
        <v>178</v>
      </c>
      <c r="Q22" s="75" t="s">
        <v>104</v>
      </c>
      <c r="R22" s="301" t="s">
        <v>230</v>
      </c>
      <c r="S22" s="302" t="s">
        <v>231</v>
      </c>
      <c r="T22" s="241"/>
    </row>
    <row r="23" spans="1:20" s="40" customFormat="1" ht="14.45">
      <c r="A23" s="242"/>
      <c r="B23" s="303" t="s">
        <v>244</v>
      </c>
      <c r="C23" s="304">
        <f>C13</f>
        <v>0.30543504003832544</v>
      </c>
      <c r="D23" s="304">
        <f>C23</f>
        <v>0.30543504003832544</v>
      </c>
      <c r="E23" s="257" t="str">
        <f>IF(OR(C23=0,C23="%"),"%",_xlfn.CONCAT(ROUND(D23-C23,3)*100,"pt"))</f>
        <v>0pt</v>
      </c>
      <c r="F23" s="304">
        <f>D23</f>
        <v>0.30543504003832544</v>
      </c>
      <c r="G23" s="257" t="str">
        <f>IF(OR(D23=0,D23="%"),"%",_xlfn.CONCAT(ROUND(F23-D23,3)*100,"pt"))</f>
        <v>0pt</v>
      </c>
      <c r="H23" s="304">
        <f>F23</f>
        <v>0.30543504003832544</v>
      </c>
      <c r="I23" s="257" t="str">
        <f>IF(OR(F23=0,F23="%"),"%",_xlfn.CONCAT(ROUND(H23-F23,3)*100,"pt"))</f>
        <v>0pt</v>
      </c>
      <c r="J23" s="305">
        <f>H23</f>
        <v>0.30543504003832544</v>
      </c>
      <c r="K23" s="257" t="str">
        <f>IF(OR(H23=0,H23="%"),"%",_xlfn.CONCAT(ROUND(J23-H23,3)*100,"pt"))</f>
        <v>0pt</v>
      </c>
      <c r="L23" s="305">
        <f>J23</f>
        <v>0.30543504003832544</v>
      </c>
      <c r="M23" s="257" t="str">
        <f>IF(OR(J23=0,J23="%"),"%",_xlfn.CONCAT(ROUND(L23-J23,3)*100,"pt"))</f>
        <v>0pt</v>
      </c>
      <c r="N23" s="305">
        <f>L23</f>
        <v>0.30543504003832544</v>
      </c>
      <c r="O23" s="257" t="str">
        <f>IF(OR(L23=0,L23="%"),"%",_xlfn.CONCAT(ROUND(N23-L23,3)*100,"pt"))</f>
        <v>0pt</v>
      </c>
      <c r="P23" s="305">
        <f>N23</f>
        <v>0.30543504003832544</v>
      </c>
      <c r="Q23" s="257" t="str">
        <f>IF(OR(N23=0,N23="%"),"%",_xlfn.CONCAT(ROUND(P23-N23,3)*100,"pt"))</f>
        <v>0pt</v>
      </c>
      <c r="R23" s="306" t="str">
        <f>IF(OR(C23=0,C23="%"),"%",_xlfn.CONCAT(ROUND(P23-C23,3)*100,"pt"))</f>
        <v>0pt</v>
      </c>
      <c r="S23" s="269" t="str">
        <f>IF(OR(C23=0,C23="%"),"%",_xlfn.CONCAT(ROUND((P23-C23)/7,3)*100,"pt"))</f>
        <v>0pt</v>
      </c>
      <c r="T23" s="241"/>
    </row>
    <row r="24" spans="1:20" s="40" customFormat="1" ht="14.45">
      <c r="A24" s="242"/>
      <c r="B24" s="255" t="s">
        <v>245</v>
      </c>
      <c r="C24" s="307">
        <f>IF(C10=0,"%",(-C18*(1-C$23))/(C10))</f>
        <v>5.6727320924529367E-2</v>
      </c>
      <c r="D24" s="307">
        <f>IF(D10=0,"%",(-D18*(1-D$23))/(D10))</f>
        <v>-1.3711113319329988E-2</v>
      </c>
      <c r="E24" s="257" t="str">
        <f>IF(OR(C24=0,C24="%"),"%",_xlfn.CONCAT(ROUND(D24-C24,3)*100,"pt"))</f>
        <v>-7pt</v>
      </c>
      <c r="F24" s="307">
        <f>IF(F10=0,"%",(-F18*(1-F$23))/(F10))</f>
        <v>-1.5279247746654409E-2</v>
      </c>
      <c r="G24" s="257" t="str">
        <f>IF(OR(D24=0,D24="%"),"%",_xlfn.CONCAT(ROUND(F24-D24,3)*100,"pt"))</f>
        <v>-0.2pt</v>
      </c>
      <c r="H24" s="307">
        <f>IF(H10=0,"%",(-H18*(1-H$23))/(H10))</f>
        <v>-8.5455045837674569E-3</v>
      </c>
      <c r="I24" s="257" t="str">
        <f>IF(OR(F24=0,F24="%"),"%",_xlfn.CONCAT(ROUND(H24-F24,3)*100,"pt"))</f>
        <v>0.7pt</v>
      </c>
      <c r="J24" s="307">
        <f>IF(J10=0,"%",(-J18*(1-J$23))/(J10))</f>
        <v>1.4064749820047887E-2</v>
      </c>
      <c r="K24" s="257" t="str">
        <f>IF(OR(H24=0,H24="%"),"%",_xlfn.CONCAT(ROUND(J24-H24,3)*100,"pt"))</f>
        <v>2.3pt</v>
      </c>
      <c r="L24" s="307">
        <f>IF(L10=0,"%",(-L18*(1-L$23))/(L10))</f>
        <v>1.1348611306041725E-2</v>
      </c>
      <c r="M24" s="257" t="str">
        <f>IF(OR(J24=0,J24="%"),"%",_xlfn.CONCAT(ROUND(L24-J24,3)*100,"pt"))</f>
        <v>-0.3pt</v>
      </c>
      <c r="N24" s="307">
        <f>IF(N10=0,"%",(-N18*(1-N$23))/(N10))</f>
        <v>1.1589565569327619E-2</v>
      </c>
      <c r="O24" s="257" t="str">
        <f>IF(OR(L24=0,L24="%"),"%",_xlfn.CONCAT(ROUND(N24-L24,3)*100,"pt"))</f>
        <v>0pt</v>
      </c>
      <c r="P24" s="307">
        <f>IF(P10=0,"%",(-P18*(1-P$23))/(P10))</f>
        <v>1.1838939478099423E-2</v>
      </c>
      <c r="Q24" s="257" t="str">
        <f>IF(OR(N24=0,N24="%"),"%",_xlfn.CONCAT(ROUND(P24-N24,3)*100,"pt"))</f>
        <v>0pt</v>
      </c>
      <c r="R24" s="306" t="str">
        <f>IF(OR(C24=0,C24="%"),"%",_xlfn.CONCAT(ROUND(P24-C24,3)*100,"pt"))</f>
        <v>-4.5pt</v>
      </c>
      <c r="S24" s="269" t="str">
        <f t="shared" ref="S24:S25" si="4">IF(OR(C24=0,C24="%"),"%",_xlfn.CONCAT(ROUND((P24-C24)/7,3)*100,"pt"))</f>
        <v>-0.6pt</v>
      </c>
      <c r="T24" s="241"/>
    </row>
    <row r="25" spans="1:20" s="40" customFormat="1" ht="15" thickBot="1">
      <c r="A25" s="242"/>
      <c r="B25" s="308" t="s">
        <v>246</v>
      </c>
      <c r="C25" s="309">
        <f>IF(C8=0,"%",(-C18*C$23)/C8)</f>
        <v>5.6727320924529361E-2</v>
      </c>
      <c r="D25" s="309">
        <f>IF(D8=0,"%",(-D18*D$23)/D8)</f>
        <v>-1.3545158198597586E-2</v>
      </c>
      <c r="E25" s="310" t="str">
        <f>IF(OR(C25=0,C25="%"),"%",_xlfn.CONCAT(ROUND(D25-C25,3)*100,"pt"))</f>
        <v>-7pt</v>
      </c>
      <c r="F25" s="309">
        <f>IF(F8=0,"%",(-F18*F$23)/F8)</f>
        <v>-1.5487479891755395E-2</v>
      </c>
      <c r="G25" s="310" t="str">
        <f>IF(OR(D25=0,D25="%"),"%",_xlfn.CONCAT(ROUND(F25-D25,3)*100,"pt"))</f>
        <v>-0.2pt</v>
      </c>
      <c r="H25" s="309">
        <f>IF(H8=0,"%",(-H18*H$23)/H8)</f>
        <v>-8.8907532443493233E-3</v>
      </c>
      <c r="I25" s="310" t="str">
        <f>IF(OR(F25=0,F25="%"),"%",_xlfn.CONCAT(ROUND(H25-F25,3)*100,"pt"))</f>
        <v>0.7pt</v>
      </c>
      <c r="J25" s="309">
        <f>IF(J8=0,"%",(-J18*J$23)/J8)</f>
        <v>1.4548773773913956E-2</v>
      </c>
      <c r="K25" s="310" t="str">
        <f>IF(OR(H25=0,H25="%"),"%",_xlfn.CONCAT(ROUND(J25-H25,3)*100,"pt"))</f>
        <v>2.3pt</v>
      </c>
      <c r="L25" s="309">
        <f>IF(L8=0,"%",(-L18*L$23)/L8)</f>
        <v>1.1623733079761764E-2</v>
      </c>
      <c r="M25" s="310" t="str">
        <f>IF(OR(J25=0,J25="%"),"%",_xlfn.CONCAT(ROUND(L25-J25,3)*100,"pt"))</f>
        <v>-0.3pt</v>
      </c>
      <c r="N25" s="309">
        <f>IF(N8=0,"%",(-N18*N$23)/N8)</f>
        <v>1.1755553159674284E-2</v>
      </c>
      <c r="O25" s="310" t="str">
        <f>IF(OR(L25=0,L25="%"),"%",_xlfn.CONCAT(ROUND(N25-L25,3)*100,"pt"))</f>
        <v>0pt</v>
      </c>
      <c r="P25" s="309">
        <f>IF(P8=0,"%",(-P18*P$23)/P8)</f>
        <v>1.1893892118470211E-2</v>
      </c>
      <c r="Q25" s="310" t="str">
        <f>IF(OR(N25=0,N25="%"),"%",_xlfn.CONCAT(ROUND(P25-N25,3)*100,"pt"))</f>
        <v>0pt</v>
      </c>
      <c r="R25" s="311" t="str">
        <f>IF(OR(C25=0,C25="%"),"%",_xlfn.CONCAT(ROUND(P25-C25,3)*100,"pt"))</f>
        <v>-4.5pt</v>
      </c>
      <c r="S25" s="312" t="str">
        <f t="shared" si="4"/>
        <v>-0.6pt</v>
      </c>
      <c r="T25" s="241"/>
    </row>
    <row r="26" spans="1:20" s="40" customFormat="1">
      <c r="A26" s="242"/>
      <c r="T26" s="241"/>
    </row>
    <row r="27" spans="1:20" ht="12.95" thickBot="1">
      <c r="A27" s="242"/>
      <c r="B27" s="40"/>
      <c r="C27" s="40"/>
      <c r="D27" s="40"/>
      <c r="E27" s="40"/>
      <c r="F27" s="40"/>
      <c r="G27" s="40"/>
      <c r="H27" s="40"/>
      <c r="I27" s="40"/>
      <c r="J27" s="40"/>
      <c r="K27" s="40"/>
      <c r="L27" s="40"/>
      <c r="M27" s="40"/>
      <c r="N27" s="40"/>
      <c r="O27" s="40"/>
      <c r="P27" s="40"/>
      <c r="Q27" s="40"/>
      <c r="R27" s="40"/>
      <c r="S27" s="40"/>
      <c r="T27" s="241"/>
    </row>
    <row r="28" spans="1:20" ht="14.45">
      <c r="A28" s="242"/>
      <c r="B28" s="469" t="s">
        <v>247</v>
      </c>
      <c r="C28" s="313" t="s">
        <v>248</v>
      </c>
      <c r="D28" s="314">
        <v>0.25</v>
      </c>
      <c r="E28" s="313" t="s">
        <v>249</v>
      </c>
      <c r="F28" s="313"/>
      <c r="G28" s="313"/>
      <c r="H28" s="313"/>
      <c r="I28" s="313"/>
      <c r="J28" s="313"/>
      <c r="K28" s="313"/>
      <c r="L28" s="313"/>
      <c r="M28" s="313"/>
      <c r="N28" s="313"/>
      <c r="O28" s="313"/>
      <c r="P28" s="313"/>
      <c r="Q28" s="313"/>
      <c r="R28" s="313"/>
      <c r="S28" s="315"/>
      <c r="T28" s="241"/>
    </row>
    <row r="29" spans="1:20" ht="14.45">
      <c r="A29" s="242"/>
      <c r="B29" s="470"/>
      <c r="C29" s="40" t="s">
        <v>250</v>
      </c>
      <c r="D29" s="316">
        <v>0.25</v>
      </c>
      <c r="E29" s="40"/>
      <c r="F29" s="40"/>
      <c r="G29" s="40"/>
      <c r="H29" s="40"/>
      <c r="I29" s="40"/>
      <c r="J29" s="40"/>
      <c r="K29" s="40"/>
      <c r="L29" s="40"/>
      <c r="M29" s="40"/>
      <c r="N29" s="40"/>
      <c r="O29" s="40"/>
      <c r="P29" s="40"/>
      <c r="Q29" s="40"/>
      <c r="R29" s="40"/>
      <c r="S29" s="317"/>
      <c r="T29" s="241"/>
    </row>
    <row r="30" spans="1:20" ht="14.45">
      <c r="A30" s="242"/>
      <c r="B30" s="470"/>
      <c r="C30" s="40" t="s">
        <v>251</v>
      </c>
      <c r="D30" s="316">
        <v>0.5</v>
      </c>
      <c r="E30" s="40"/>
      <c r="F30" s="40"/>
      <c r="G30" s="40"/>
      <c r="H30" s="40"/>
      <c r="I30" s="40"/>
      <c r="J30" s="40"/>
      <c r="K30" s="40"/>
      <c r="L30" s="40"/>
      <c r="M30" s="40"/>
      <c r="N30" s="40"/>
      <c r="O30" s="40"/>
      <c r="P30" s="40"/>
      <c r="Q30" s="40"/>
      <c r="R30" s="40"/>
      <c r="S30" s="317"/>
      <c r="T30" s="241"/>
    </row>
    <row r="31" spans="1:20" ht="13.5" thickBot="1">
      <c r="A31" s="242"/>
      <c r="B31" s="471"/>
      <c r="C31" s="318" t="s">
        <v>252</v>
      </c>
      <c r="D31" s="319">
        <f>SUM(D28:D30)</f>
        <v>1</v>
      </c>
      <c r="E31" s="40"/>
      <c r="F31" s="40"/>
      <c r="G31" s="40"/>
      <c r="H31" s="40"/>
      <c r="I31" s="40"/>
      <c r="J31" s="40"/>
      <c r="K31" s="40"/>
      <c r="L31" s="40"/>
      <c r="M31" s="40"/>
      <c r="N31" s="40"/>
      <c r="O31" s="40"/>
      <c r="P31" s="40"/>
      <c r="Q31" s="40"/>
      <c r="R31" s="40"/>
      <c r="S31" s="317"/>
      <c r="T31" s="241"/>
    </row>
    <row r="32" spans="1:20" ht="12.95" thickBot="1">
      <c r="A32" s="242"/>
      <c r="B32" s="297"/>
      <c r="C32" s="40"/>
      <c r="D32" s="40"/>
      <c r="E32" s="40"/>
      <c r="F32" s="40"/>
      <c r="G32" s="40"/>
      <c r="H32" s="40"/>
      <c r="I32" s="40"/>
      <c r="J32" s="40"/>
      <c r="K32" s="40"/>
      <c r="L32" s="40"/>
      <c r="M32" s="40"/>
      <c r="N32" s="40"/>
      <c r="O32" s="40"/>
      <c r="P32" s="40"/>
      <c r="Q32" s="40"/>
      <c r="R32" s="40"/>
      <c r="S32" s="320"/>
      <c r="T32" s="241"/>
    </row>
    <row r="33" spans="1:20" ht="12.95">
      <c r="A33" s="242"/>
      <c r="B33" s="321"/>
      <c r="C33" s="322" t="s">
        <v>95</v>
      </c>
      <c r="D33" s="322" t="s">
        <v>96</v>
      </c>
      <c r="E33" s="323" t="s">
        <v>104</v>
      </c>
      <c r="F33" s="324" t="s">
        <v>173</v>
      </c>
      <c r="G33" s="323" t="s">
        <v>104</v>
      </c>
      <c r="H33" s="324" t="s">
        <v>174</v>
      </c>
      <c r="I33" s="323" t="s">
        <v>104</v>
      </c>
      <c r="J33" s="325" t="s">
        <v>175</v>
      </c>
      <c r="K33" s="323" t="s">
        <v>104</v>
      </c>
      <c r="L33" s="325" t="s">
        <v>176</v>
      </c>
      <c r="M33" s="323" t="s">
        <v>104</v>
      </c>
      <c r="N33" s="325" t="s">
        <v>177</v>
      </c>
      <c r="O33" s="323" t="s">
        <v>104</v>
      </c>
      <c r="P33" s="325" t="s">
        <v>178</v>
      </c>
      <c r="Q33" s="323" t="s">
        <v>104</v>
      </c>
      <c r="R33" s="326" t="s">
        <v>230</v>
      </c>
      <c r="S33" s="249" t="s">
        <v>231</v>
      </c>
      <c r="T33" s="241"/>
    </row>
    <row r="34" spans="1:20" ht="14.45">
      <c r="A34" s="242"/>
      <c r="B34" s="255" t="s">
        <v>253</v>
      </c>
      <c r="C34" s="256">
        <f>IF(C14=0,"%",(-C18*$D$28)/C14)</f>
        <v>1.3420520081495267E-2</v>
      </c>
      <c r="D34" s="256">
        <f>IF(D14=0,"%",(-D18*$D$28)/D14)</f>
        <v>-3.2811131371986817E-3</v>
      </c>
      <c r="E34" s="257" t="str">
        <f>IF(OR(C34=0,C34="%"),"%",_xlfn.CONCAT(ROUND(D34-C34,3)*100,"pt"))</f>
        <v>-1.7pt</v>
      </c>
      <c r="F34" s="256">
        <f>IF(F14=0,"%",(-F18*$D$28)/F14)</f>
        <v>-3.7467004507644288E-3</v>
      </c>
      <c r="G34" s="257" t="str">
        <f>IF(OR(D34=0,D34="%"),"%",_xlfn.CONCAT(ROUND(F34-D34,3)*100,"pt"))</f>
        <v>0pt</v>
      </c>
      <c r="H34" s="256">
        <f>IF(H14=0,"%",(-H18*$D$28)/H14)</f>
        <v>-2.1320834981125602E-3</v>
      </c>
      <c r="I34" s="257" t="str">
        <f>IF(OR(F34=0,F34="%"),"%",_xlfn.CONCAT(ROUND(H34-F34,3)*100,"pt"))</f>
        <v>0.2pt</v>
      </c>
      <c r="J34" s="256">
        <f>IF(J14=0,"%",(-J18*$D$28)/J14)</f>
        <v>3.4555429793710537E-3</v>
      </c>
      <c r="K34" s="257" t="str">
        <f>IF(OR(H34=0,H34="%"),"%",_xlfn.CONCAT(ROUND(J34-H34,3)*100,"pt"))</f>
        <v>0.6pt</v>
      </c>
      <c r="L34" s="256">
        <f>IF(L14=0,"%",(-L18*$D$28)/L14)</f>
        <v>2.7508394048192477E-3</v>
      </c>
      <c r="M34" s="257" t="str">
        <f>IF(OR(J34=0,J34="%"),"%",_xlfn.CONCAT(ROUND(L34-J34,3)*100,"pt"))</f>
        <v>-0.1pt</v>
      </c>
      <c r="N34" s="256">
        <f>IF(N14=0,"%",(-N18*$D$28)/N14)</f>
        <v>2.7719543465347146E-3</v>
      </c>
      <c r="O34" s="257" t="str">
        <f>IF(OR(L34=0,L34="%"),"%",_xlfn.CONCAT(ROUND(N34-L34,3)*100,"pt"))</f>
        <v>0pt</v>
      </c>
      <c r="P34" s="256">
        <f>IF(P14=0,"%",(-P18*$D$28)/P14)</f>
        <v>2.7943550849067705E-3</v>
      </c>
      <c r="Q34" s="257" t="str">
        <f>IF(OR(N34=0,N34="%"),"%",_xlfn.CONCAT(ROUND(P34-N34,3)*100,"pt"))</f>
        <v>0pt</v>
      </c>
      <c r="R34" s="306" t="str">
        <f>IF(OR(C34=0,C34="%"),"%",_xlfn.CONCAT(ROUND(P34-C34,3)*100,"pt"))</f>
        <v>-1.1pt</v>
      </c>
      <c r="S34" s="269" t="str">
        <f t="shared" ref="S34:S37" si="5">IF(OR(C34=0,C34="%"),"%",_xlfn.CONCAT(ROUND((P34-C34)/7,3)*100,"pt"))</f>
        <v>-0.2pt</v>
      </c>
      <c r="T34" s="241"/>
    </row>
    <row r="35" spans="1:20" ht="14.45">
      <c r="A35" s="242"/>
      <c r="B35" s="255" t="s">
        <v>254</v>
      </c>
      <c r="C35" s="256">
        <f>IF(C10=0,"%",(-C18*$D$29)/(C10))</f>
        <v>2.041829209454344E-2</v>
      </c>
      <c r="D35" s="256">
        <f>IF(D10=0,"%",(-D18*$D$29)/(D10))</f>
        <v>-4.9351443384383206E-3</v>
      </c>
      <c r="E35" s="257" t="str">
        <f>IF(OR(C35=0,C35="%"),"%",_xlfn.CONCAT(ROUND(D35-C35,3)*100,"pt"))</f>
        <v>-2.5pt</v>
      </c>
      <c r="F35" s="256">
        <f>IF(F10=0,"%",(-F18*$D$29)/(F10))</f>
        <v>-5.4995747796928538E-3</v>
      </c>
      <c r="G35" s="257" t="str">
        <f>IF(OR(D35=0,D35="%"),"%",_xlfn.CONCAT(ROUND(F35-D35,3)*100,"pt"))</f>
        <v>-0.1pt</v>
      </c>
      <c r="H35" s="256">
        <f>IF(H10=0,"%",(-H18*$D$29)/(H10))</f>
        <v>-3.0758478603063236E-3</v>
      </c>
      <c r="I35" s="257" t="str">
        <f>IF(OR(F35=0,F35="%"),"%",_xlfn.CONCAT(ROUND(H35-F35,3)*100,"pt"))</f>
        <v>0.2pt</v>
      </c>
      <c r="J35" s="256">
        <f>IF(J10=0,"%",(-J18*$D$29)/(J10))</f>
        <v>5.0624313890035456E-3</v>
      </c>
      <c r="K35" s="257" t="str">
        <f>IF(OR(H35=0,H35="%"),"%",_xlfn.CONCAT(ROUND(J35-H35,3)*100,"pt"))</f>
        <v>0.8pt</v>
      </c>
      <c r="L35" s="256">
        <f>IF(L10=0,"%",(-L18*$D$29)/(L10))</f>
        <v>4.084791185934549E-3</v>
      </c>
      <c r="M35" s="257" t="str">
        <f>IF(OR(J35=0,J35="%"),"%",_xlfn.CONCAT(ROUND(L35-J35,3)*100,"pt"))</f>
        <v>-0.1pt</v>
      </c>
      <c r="N35" s="256">
        <f>IF(N10=0,"%",(-N18*$D$29)/(N10))</f>
        <v>4.1715196696530451E-3</v>
      </c>
      <c r="O35" s="257" t="str">
        <f>IF(OR(L35=0,L35="%"),"%",_xlfn.CONCAT(ROUND(N35-L35,3)*100,"pt"))</f>
        <v>0pt</v>
      </c>
      <c r="P35" s="256">
        <f>IF(P10=0,"%",(-P18*$D$29)/(P10))</f>
        <v>4.2612786998183303E-3</v>
      </c>
      <c r="Q35" s="257" t="str">
        <f>IF(OR(N35=0,N35="%"),"%",_xlfn.CONCAT(ROUND(P35-N35,3)*100,"pt"))</f>
        <v>0pt</v>
      </c>
      <c r="R35" s="306" t="str">
        <f>IF(OR(C35=0,C35="%"),"%",_xlfn.CONCAT(ROUND(P35-C35,3)*100,"pt"))</f>
        <v>-1.6pt</v>
      </c>
      <c r="S35" s="269" t="str">
        <f t="shared" si="5"/>
        <v>-0.2pt</v>
      </c>
      <c r="T35" s="241"/>
    </row>
    <row r="36" spans="1:20" ht="14.45">
      <c r="A36" s="242"/>
      <c r="B36" s="255" t="s">
        <v>246</v>
      </c>
      <c r="C36" s="256">
        <f>IF(C8=0,"%",(-C18*$D$30)/C8)</f>
        <v>9.286315171535546E-2</v>
      </c>
      <c r="D36" s="256">
        <f>IF(D8=0,"%",(-D18*$D$30)/D8)</f>
        <v>-2.2173549892798752E-2</v>
      </c>
      <c r="E36" s="257" t="str">
        <f>IF(OR(C36=0,C36="%"),"%",_xlfn.CONCAT(ROUND(D36-C36,3)*100,"pt"))</f>
        <v>-11.5pt</v>
      </c>
      <c r="F36" s="256">
        <f>IF(F8=0,"%",(-F18*$D$30)/F8)</f>
        <v>-2.5353148561167136E-2</v>
      </c>
      <c r="G36" s="257" t="str">
        <f>IF(OR(D36=0,D36="%"),"%",_xlfn.CONCAT(ROUND(F36-D36,3)*100,"pt"))</f>
        <v>-0.3pt</v>
      </c>
      <c r="H36" s="256">
        <f>IF(H8=0,"%",(-H18*$D$30)/H8)</f>
        <v>-1.4554245713317189E-2</v>
      </c>
      <c r="I36" s="257" t="str">
        <f>IF(OR(F36=0,F36="%"),"%",_xlfn.CONCAT(ROUND(H36-F36,3)*100,"pt"))</f>
        <v>1.1pt</v>
      </c>
      <c r="J36" s="256">
        <f>IF(J8=0,"%",(-J18*$D$30)/J8)</f>
        <v>2.3816477919639482E-2</v>
      </c>
      <c r="K36" s="257" t="str">
        <f>IF(OR(H36=0,H36="%"),"%",_xlfn.CONCAT(ROUND(J36-H36,3)*100,"pt"))</f>
        <v>3.8pt</v>
      </c>
      <c r="L36" s="256">
        <f>IF(L8=0,"%",(-L18*$D$30)/L8)</f>
        <v>1.9028159110859116E-2</v>
      </c>
      <c r="M36" s="257" t="str">
        <f>IF(OR(J36=0,J36="%"),"%",_xlfn.CONCAT(ROUND(L36-J36,3)*100,"pt"))</f>
        <v>-0.5pt</v>
      </c>
      <c r="N36" s="256">
        <f>IF(N8=0,"%",(-N18*$D$30)/N8)</f>
        <v>1.9243949807132836E-2</v>
      </c>
      <c r="O36" s="257" t="str">
        <f>IF(OR(L36=0,L36="%"),"%",_xlfn.CONCAT(ROUND(N36-L36,3)*100,"pt"))</f>
        <v>0pt</v>
      </c>
      <c r="P36" s="256">
        <f>IF(P8=0,"%",(-P18*$D$30)/P8)</f>
        <v>1.9470411968741021E-2</v>
      </c>
      <c r="Q36" s="257" t="str">
        <f>IF(OR(N36=0,N36="%"),"%",_xlfn.CONCAT(ROUND(P36-N36,3)*100,"pt"))</f>
        <v>0pt</v>
      </c>
      <c r="R36" s="306" t="str">
        <f>IF(OR(C36=0,C36="%"),"%",_xlfn.CONCAT(ROUND(P36-C36,3)*100,"pt"))</f>
        <v>-7.3pt</v>
      </c>
      <c r="S36" s="269" t="str">
        <f t="shared" si="5"/>
        <v>-1pt</v>
      </c>
      <c r="T36" s="241"/>
    </row>
    <row r="37" spans="1:20" ht="15" thickBot="1">
      <c r="A37" s="242"/>
      <c r="B37" s="327" t="s">
        <v>237</v>
      </c>
      <c r="C37" s="328">
        <f>IF(C8=0,"%",((1+C36)*C8)/(((1+C35)*C10)+((1+C36)*C8)))</f>
        <v>0.320176628723012</v>
      </c>
      <c r="D37" s="328">
        <f>IF(D8=0,"%",((1+D36)*D8)/(((1+D35)*D10)+((1+D36)*D8)))</f>
        <v>0.30431222134645269</v>
      </c>
      <c r="E37" s="310" t="str">
        <f>IF(OR(C37=0,C37="%"),"%",_xlfn.CONCAT(ROUND(D37-C37,3)*100,"pt"))</f>
        <v>-1.6pt</v>
      </c>
      <c r="F37" s="328">
        <f>IF(F8=0,"%",((1+F36)*F8)/(((1+F35)*F10)+((1+F36)*F8)))</f>
        <v>0.29833264983081109</v>
      </c>
      <c r="G37" s="310" t="str">
        <f>IF(OR(D37=0,D37="%"),"%",_xlfn.CONCAT(ROUND(F37-D37,3)*100,"pt"))</f>
        <v>-0.6pt</v>
      </c>
      <c r="H37" s="328">
        <f>IF(H8=0,"%",((1+H36)*H8)/(((1+H35)*H10)+((1+H36)*H8)))</f>
        <v>0.29468540127583992</v>
      </c>
      <c r="I37" s="310" t="str">
        <f>IF(OR(F37=0,F37="%"),"%",_xlfn.CONCAT(ROUND(H37-F37,3)*100,"pt"))</f>
        <v>-0.4pt</v>
      </c>
      <c r="J37" s="328">
        <f>IF(J8=0,"%",((1+J36)*J8)/(((1+J35)*J10)+((1+J36)*J8)))</f>
        <v>0.30218892447797352</v>
      </c>
      <c r="K37" s="310" t="str">
        <f>IF(OR(H37=0,H37="%"),"%",_xlfn.CONCAT(ROUND(J37-H37,3)*100,"pt"))</f>
        <v>0.8pt</v>
      </c>
      <c r="L37" s="328">
        <f>IF(L8=0,"%",((1+L36)*L8)/(((1+L35)*L10)+((1+L36)*L8)))</f>
        <v>0.30349089970537135</v>
      </c>
      <c r="M37" s="310" t="str">
        <f>IF(OR(J37=0,J37="%"),"%",_xlfn.CONCAT(ROUND(L37-J37,3)*100,"pt"))</f>
        <v>0.1pt</v>
      </c>
      <c r="N37" s="328">
        <f>IF(N8=0,"%",((1+N36)*N8)/(((1+N35)*N10)+((1+N36)*N8)))</f>
        <v>0.3055788333160403</v>
      </c>
      <c r="O37" s="310" t="str">
        <f>IF(OR(L37=0,L37="%"),"%",_xlfn.CONCAT(ROUND(N37-L37,3)*100,"pt"))</f>
        <v>0.2pt</v>
      </c>
      <c r="P37" s="328">
        <f>IF(P8=0,"%",((1+P36)*P8)/(((1+P35)*P10)+((1+P36)*P8)))</f>
        <v>0.30764582093219128</v>
      </c>
      <c r="Q37" s="310" t="str">
        <f>IF(OR(N37=0,N37="%"),"%",_xlfn.CONCAT(ROUND(P37-N37,3)*100,"pt"))</f>
        <v>0.2pt</v>
      </c>
      <c r="R37" s="311" t="str">
        <f>IF(OR(C37=0,C37="%"),"%",_xlfn.CONCAT(ROUND(P37-C37,3)*100,"pt"))</f>
        <v>-1.3pt</v>
      </c>
      <c r="S37" s="312" t="str">
        <f t="shared" si="5"/>
        <v>-0.2pt</v>
      </c>
      <c r="T37" s="241"/>
    </row>
    <row r="38" spans="1:20">
      <c r="A38" s="242"/>
      <c r="B38" s="40"/>
      <c r="C38" s="40"/>
      <c r="D38" s="40"/>
      <c r="E38" s="40"/>
      <c r="F38" s="40"/>
      <c r="G38" s="40"/>
      <c r="H38" s="40"/>
      <c r="I38" s="40"/>
      <c r="J38" s="40"/>
      <c r="K38" s="40"/>
      <c r="L38" s="40"/>
      <c r="M38" s="40"/>
      <c r="N38" s="40"/>
      <c r="O38" s="40"/>
      <c r="P38" s="40"/>
      <c r="Q38" s="40"/>
      <c r="R38" s="40"/>
      <c r="S38" s="40"/>
      <c r="T38" s="241"/>
    </row>
    <row r="39" spans="1:20">
      <c r="A39" s="242"/>
      <c r="B39" s="40"/>
      <c r="C39" s="40"/>
      <c r="D39" s="40"/>
      <c r="E39" s="40"/>
      <c r="F39" s="40"/>
      <c r="G39" s="40"/>
      <c r="H39" s="40"/>
      <c r="I39" s="40"/>
      <c r="J39" s="40"/>
      <c r="K39" s="40"/>
      <c r="L39" s="40"/>
      <c r="M39" s="40"/>
      <c r="N39" s="40"/>
      <c r="O39" s="40"/>
      <c r="P39" s="40"/>
      <c r="Q39" s="40"/>
      <c r="R39" s="40"/>
      <c r="S39" s="40"/>
      <c r="T39" s="241"/>
    </row>
    <row r="40" spans="1:20">
      <c r="A40" s="329"/>
      <c r="B40" s="330"/>
      <c r="C40" s="330"/>
      <c r="D40" s="330"/>
      <c r="E40" s="330"/>
      <c r="F40" s="330"/>
      <c r="G40" s="330"/>
      <c r="H40" s="330"/>
      <c r="I40" s="330"/>
      <c r="J40" s="330"/>
      <c r="K40" s="330"/>
      <c r="L40" s="330"/>
      <c r="M40" s="330"/>
      <c r="N40" s="330"/>
      <c r="O40" s="330"/>
      <c r="P40" s="330"/>
      <c r="Q40" s="330"/>
      <c r="R40" s="330"/>
      <c r="S40" s="330"/>
      <c r="T40" s="331"/>
    </row>
  </sheetData>
  <mergeCells count="4">
    <mergeCell ref="A2:G2"/>
    <mergeCell ref="A3:S4"/>
    <mergeCell ref="R6:S6"/>
    <mergeCell ref="B28:B3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AB88B-DF53-44B8-8FFA-AE33F9B7ED60}">
  <sheetPr>
    <pageSetUpPr fitToPage="1"/>
  </sheetPr>
  <dimension ref="A1:L27"/>
  <sheetViews>
    <sheetView tabSelected="1" topLeftCell="A6" zoomScale="70" zoomScaleNormal="70" workbookViewId="0">
      <pane xSplit="1" ySplit="4" topLeftCell="C17" activePane="bottomRight" state="frozen"/>
      <selection pane="bottomRight" activeCell="I17" sqref="I17"/>
      <selection pane="bottomLeft" activeCell="A3" sqref="A3:H3"/>
      <selection pane="topRight" activeCell="A3" sqref="A3:H3"/>
    </sheetView>
  </sheetViews>
  <sheetFormatPr defaultColWidth="9.140625" defaultRowHeight="12.6"/>
  <cols>
    <col min="1" max="1" width="10.28515625" style="102" customWidth="1"/>
    <col min="2" max="2" width="40" style="102" customWidth="1"/>
    <col min="3" max="3" width="69.140625" style="102" customWidth="1"/>
    <col min="4" max="4" width="16.140625" style="102" customWidth="1"/>
    <col min="5" max="5" width="17.140625" style="102" customWidth="1"/>
    <col min="6" max="6" width="15" style="102" customWidth="1"/>
    <col min="7" max="7" width="18.42578125" style="102" customWidth="1"/>
    <col min="8" max="8" width="59.85546875" style="102" customWidth="1"/>
    <col min="9" max="9" width="14.85546875" style="102" customWidth="1"/>
    <col min="10" max="10" width="15.5703125" style="102" bestFit="1" customWidth="1"/>
    <col min="11" max="11" width="11.140625" style="102" bestFit="1" customWidth="1"/>
    <col min="12" max="12" width="12.140625" style="102" bestFit="1" customWidth="1"/>
    <col min="13" max="16384" width="9.140625" style="102"/>
  </cols>
  <sheetData>
    <row r="1" spans="1:12" ht="20.100000000000001" customHeight="1">
      <c r="A1" s="65" t="s">
        <v>255</v>
      </c>
      <c r="B1" s="65"/>
      <c r="C1" s="65"/>
      <c r="D1" s="65"/>
      <c r="E1" s="65"/>
      <c r="F1" s="65"/>
      <c r="G1" s="65"/>
    </row>
    <row r="2" spans="1:12" ht="20.100000000000001" customHeight="1">
      <c r="A2" s="406" t="s">
        <v>256</v>
      </c>
      <c r="B2" s="406"/>
      <c r="C2" s="406"/>
      <c r="D2" s="406"/>
      <c r="E2" s="406"/>
      <c r="F2" s="406"/>
      <c r="G2" s="406"/>
    </row>
    <row r="3" spans="1:12" s="108" customFormat="1" ht="30" customHeight="1">
      <c r="A3" s="475" t="s">
        <v>27</v>
      </c>
      <c r="B3" s="475"/>
      <c r="C3" s="475"/>
      <c r="D3" s="475"/>
      <c r="E3" s="475"/>
      <c r="F3" s="475"/>
      <c r="G3" s="475"/>
      <c r="H3" s="475"/>
    </row>
    <row r="4" spans="1:12" s="108" customFormat="1" ht="114" customHeight="1" thickBot="1">
      <c r="A4" s="475"/>
      <c r="B4" s="475"/>
      <c r="C4" s="475"/>
      <c r="D4" s="475"/>
      <c r="E4" s="475"/>
      <c r="F4" s="475"/>
      <c r="G4" s="475"/>
      <c r="H4" s="475"/>
    </row>
    <row r="5" spans="1:12" s="217" customFormat="1" ht="20.100000000000001" customHeight="1" thickBot="1">
      <c r="A5" s="476" t="s">
        <v>257</v>
      </c>
      <c r="B5" s="479"/>
      <c r="C5" s="479"/>
      <c r="D5" s="473"/>
      <c r="E5" s="473"/>
      <c r="F5" s="473"/>
      <c r="G5" s="473"/>
      <c r="H5" s="480" t="s">
        <v>258</v>
      </c>
      <c r="J5" s="218"/>
    </row>
    <row r="6" spans="1:12" s="217" customFormat="1" ht="20.100000000000001" customHeight="1" thickBot="1">
      <c r="A6" s="477"/>
      <c r="B6" s="479"/>
      <c r="C6" s="479"/>
      <c r="D6" s="473" t="s">
        <v>259</v>
      </c>
      <c r="E6" s="473"/>
      <c r="F6" s="473"/>
      <c r="G6" s="473"/>
      <c r="H6" s="481"/>
    </row>
    <row r="7" spans="1:12" s="217" customFormat="1" ht="20.100000000000001" customHeight="1" thickBot="1">
      <c r="A7" s="477"/>
      <c r="B7" s="482" t="s">
        <v>260</v>
      </c>
      <c r="C7" s="485" t="s">
        <v>261</v>
      </c>
      <c r="D7" s="473"/>
      <c r="E7" s="473"/>
      <c r="F7" s="473"/>
      <c r="G7" s="473"/>
      <c r="H7" s="481"/>
      <c r="J7" s="219"/>
    </row>
    <row r="8" spans="1:12" s="217" customFormat="1" ht="20.100000000000001" customHeight="1" thickBot="1">
      <c r="A8" s="477"/>
      <c r="B8" s="483"/>
      <c r="C8" s="486"/>
      <c r="D8" s="472" t="s">
        <v>173</v>
      </c>
      <c r="E8" s="473"/>
      <c r="F8" s="474" t="s">
        <v>174</v>
      </c>
      <c r="G8" s="473"/>
      <c r="H8" s="481"/>
    </row>
    <row r="9" spans="1:12" s="217" customFormat="1" ht="42" customHeight="1" thickBot="1">
      <c r="A9" s="478"/>
      <c r="B9" s="484"/>
      <c r="C9" s="487"/>
      <c r="D9" s="220" t="s">
        <v>181</v>
      </c>
      <c r="E9" s="221" t="s">
        <v>262</v>
      </c>
      <c r="F9" s="222" t="s">
        <v>181</v>
      </c>
      <c r="G9" s="221" t="s">
        <v>262</v>
      </c>
      <c r="H9" s="481"/>
    </row>
    <row r="10" spans="1:12" ht="57" customHeight="1" thickBot="1">
      <c r="A10" s="356">
        <v>1</v>
      </c>
      <c r="B10" s="357" t="s">
        <v>263</v>
      </c>
      <c r="C10" s="358" t="s">
        <v>264</v>
      </c>
      <c r="D10" s="224"/>
      <c r="E10" s="224"/>
      <c r="F10" s="224"/>
      <c r="G10" s="224"/>
      <c r="H10" s="359"/>
      <c r="J10" s="145"/>
    </row>
    <row r="11" spans="1:12" ht="75.599999999999994" customHeight="1" thickBot="1">
      <c r="A11" s="356"/>
      <c r="B11" s="360" t="s">
        <v>265</v>
      </c>
      <c r="C11" s="358"/>
      <c r="D11" s="225">
        <f>E11+8182204+2085000</f>
        <v>18267204</v>
      </c>
      <c r="E11" s="225">
        <f>7300000+700000</f>
        <v>8000000</v>
      </c>
      <c r="F11" s="225">
        <f>G11+8720185+2189250</f>
        <v>18909435</v>
      </c>
      <c r="G11" s="225">
        <f>8000000</f>
        <v>8000000</v>
      </c>
      <c r="H11" s="361" t="s">
        <v>266</v>
      </c>
      <c r="J11" s="145"/>
      <c r="K11" s="145"/>
      <c r="L11" s="145"/>
    </row>
    <row r="12" spans="1:12" ht="71.25" customHeight="1" thickBot="1">
      <c r="A12" s="356"/>
      <c r="B12" s="362" t="s">
        <v>267</v>
      </c>
      <c r="C12" s="358"/>
      <c r="D12" s="225">
        <f>E12*2</f>
        <v>2365000</v>
      </c>
      <c r="E12" s="225">
        <f>100000+120000+550000+262500+150000</f>
        <v>1182500</v>
      </c>
      <c r="F12" s="225">
        <f>G12*2</f>
        <v>2365000</v>
      </c>
      <c r="G12" s="225">
        <f>E12</f>
        <v>1182500</v>
      </c>
      <c r="H12" s="488" t="s">
        <v>268</v>
      </c>
      <c r="J12" s="145"/>
      <c r="L12" s="145"/>
    </row>
    <row r="13" spans="1:12" ht="95.25" customHeight="1" thickBot="1">
      <c r="A13" s="356"/>
      <c r="B13" s="363" t="s">
        <v>269</v>
      </c>
      <c r="C13" s="358"/>
      <c r="D13" s="225">
        <f>E13+(10200000+800000+1500000+1500000)/2</f>
        <v>20000000</v>
      </c>
      <c r="E13" s="225">
        <f>(10200000+800000+1500000+1500000)/2+6000000</f>
        <v>13000000</v>
      </c>
      <c r="F13" s="225">
        <f>G13+(3000000+800000+1500000+1500000)/2</f>
        <v>16800000</v>
      </c>
      <c r="G13" s="225">
        <f>(3000000+800000+1500000+1500000)/2+10000000</f>
        <v>13400000</v>
      </c>
      <c r="H13" s="488" t="s">
        <v>270</v>
      </c>
      <c r="J13" s="364"/>
      <c r="K13" s="365"/>
      <c r="L13" s="145"/>
    </row>
    <row r="14" spans="1:12" ht="58.5" customHeight="1" thickBot="1">
      <c r="A14" s="356"/>
      <c r="B14" s="360" t="s">
        <v>271</v>
      </c>
      <c r="C14" s="358"/>
      <c r="D14" s="225">
        <f>E14</f>
        <v>13013000</v>
      </c>
      <c r="E14" s="225">
        <f>1.3*(1.3*7700000)</f>
        <v>13013000</v>
      </c>
      <c r="F14" s="225">
        <f>G14</f>
        <v>16916900</v>
      </c>
      <c r="G14" s="225">
        <f>1.3*E14</f>
        <v>16916900</v>
      </c>
      <c r="H14" s="359" t="s">
        <v>272</v>
      </c>
      <c r="I14" s="145"/>
      <c r="J14" s="145"/>
      <c r="K14" s="145"/>
      <c r="L14" s="145"/>
    </row>
    <row r="15" spans="1:12" ht="31.5" customHeight="1" thickBot="1">
      <c r="A15" s="356">
        <v>4</v>
      </c>
      <c r="B15" s="366" t="s">
        <v>273</v>
      </c>
      <c r="C15" s="358" t="s">
        <v>274</v>
      </c>
      <c r="D15" s="224"/>
      <c r="E15" s="224"/>
      <c r="F15" s="224"/>
      <c r="G15" s="224"/>
      <c r="H15" s="226" t="s">
        <v>275</v>
      </c>
      <c r="J15" s="145"/>
      <c r="K15" s="145"/>
    </row>
    <row r="16" spans="1:12" ht="57.75" customHeight="1" thickBot="1">
      <c r="A16" s="367"/>
      <c r="B16" s="368" t="s">
        <v>276</v>
      </c>
      <c r="C16" s="369"/>
      <c r="D16" s="225">
        <f>E16</f>
        <v>9850000</v>
      </c>
      <c r="E16" s="225">
        <v>9850000</v>
      </c>
      <c r="F16" s="225">
        <f>G16</f>
        <v>3850000</v>
      </c>
      <c r="G16" s="225">
        <v>3850000</v>
      </c>
      <c r="H16" s="227" t="s">
        <v>277</v>
      </c>
      <c r="K16" s="145"/>
    </row>
    <row r="17" spans="1:12" ht="27.75" customHeight="1" thickBot="1">
      <c r="A17" s="367"/>
      <c r="B17" s="368" t="s">
        <v>278</v>
      </c>
      <c r="C17" s="369"/>
      <c r="D17" s="225">
        <f>E17</f>
        <v>2750000</v>
      </c>
      <c r="E17" s="225">
        <v>2750000</v>
      </c>
      <c r="F17" s="225">
        <f>G17</f>
        <v>2750000</v>
      </c>
      <c r="G17" s="225">
        <v>2750000</v>
      </c>
      <c r="H17" s="227" t="s">
        <v>279</v>
      </c>
      <c r="K17" s="145"/>
    </row>
    <row r="18" spans="1:12" ht="55.9" customHeight="1">
      <c r="A18" s="367">
        <v>3</v>
      </c>
      <c r="B18" s="371" t="s">
        <v>280</v>
      </c>
      <c r="C18" s="358" t="s">
        <v>281</v>
      </c>
      <c r="D18" s="225">
        <f>E18</f>
        <v>5400000</v>
      </c>
      <c r="E18" s="225">
        <v>5400000</v>
      </c>
      <c r="F18" s="225">
        <f>G18</f>
        <v>5400000</v>
      </c>
      <c r="G18" s="225">
        <v>5400000</v>
      </c>
      <c r="H18" s="227" t="s">
        <v>282</v>
      </c>
    </row>
    <row r="19" spans="1:12" ht="48.6" customHeight="1" thickBot="1">
      <c r="A19" s="367">
        <v>2</v>
      </c>
      <c r="B19" s="228" t="s">
        <v>283</v>
      </c>
      <c r="C19" s="223" t="s">
        <v>284</v>
      </c>
      <c r="D19" s="224"/>
      <c r="E19" s="224"/>
      <c r="F19" s="224"/>
      <c r="G19" s="224"/>
      <c r="H19" s="226" t="s">
        <v>285</v>
      </c>
    </row>
    <row r="20" spans="1:12" ht="45" customHeight="1" thickBot="1">
      <c r="A20" s="367"/>
      <c r="B20" s="370" t="s">
        <v>286</v>
      </c>
      <c r="C20" s="223"/>
      <c r="D20" s="225">
        <f>E20</f>
        <v>6115894.0100603625</v>
      </c>
      <c r="E20" s="225">
        <f>(6042941/0.497)-6042941</f>
        <v>6115894.0100603625</v>
      </c>
      <c r="F20" s="225">
        <f>G20</f>
        <v>6273585.0160965789</v>
      </c>
      <c r="G20" s="225">
        <f>(6198751/0.497)-6198751</f>
        <v>6273585.0160965789</v>
      </c>
      <c r="H20" s="227" t="s">
        <v>287</v>
      </c>
    </row>
    <row r="21" spans="1:12" ht="60" customHeight="1">
      <c r="A21" s="367"/>
      <c r="B21" s="229" t="s">
        <v>288</v>
      </c>
      <c r="C21" s="230"/>
      <c r="D21" s="225">
        <f>E21</f>
        <v>5500000</v>
      </c>
      <c r="E21" s="225">
        <f>4000000+1500000</f>
        <v>5500000</v>
      </c>
      <c r="F21" s="225">
        <f>G21</f>
        <v>3700000</v>
      </c>
      <c r="G21" s="225">
        <f>2000000+200000+1500000</f>
        <v>3700000</v>
      </c>
      <c r="H21" s="227" t="s">
        <v>289</v>
      </c>
      <c r="J21" s="145"/>
      <c r="L21" s="145"/>
    </row>
    <row r="22" spans="1:12" ht="42" customHeight="1">
      <c r="A22" s="367"/>
      <c r="B22" s="231" t="s">
        <v>290</v>
      </c>
      <c r="C22" s="232"/>
      <c r="D22" s="233">
        <f>E22</f>
        <v>5000000</v>
      </c>
      <c r="E22" s="225">
        <v>5000000</v>
      </c>
      <c r="F22" s="225">
        <f>G22</f>
        <v>8000000</v>
      </c>
      <c r="G22" s="225">
        <v>8000000</v>
      </c>
      <c r="H22" s="226" t="s">
        <v>291</v>
      </c>
      <c r="I22" s="145"/>
      <c r="J22" s="145"/>
      <c r="K22" s="145"/>
      <c r="L22" s="145"/>
    </row>
    <row r="23" spans="1:12" ht="15.95" thickBot="1">
      <c r="A23" s="234"/>
      <c r="B23" s="235"/>
      <c r="C23" s="235"/>
      <c r="D23" s="234">
        <f>SUM(D10:D22)</f>
        <v>88261098.01006037</v>
      </c>
      <c r="E23" s="234">
        <f>SUM(E10:E22)</f>
        <v>69811394.01006037</v>
      </c>
      <c r="F23" s="234">
        <f>SUM(F10:F22)</f>
        <v>84964920.016096577</v>
      </c>
      <c r="G23" s="234">
        <f>SUM(G10:G22)</f>
        <v>69472985.016096577</v>
      </c>
      <c r="H23" s="236"/>
    </row>
    <row r="27" spans="1:12">
      <c r="I27" s="145"/>
      <c r="K27" s="145"/>
    </row>
  </sheetData>
  <mergeCells count="12">
    <mergeCell ref="D8:E8"/>
    <mergeCell ref="F8:G8"/>
    <mergeCell ref="A2:G2"/>
    <mergeCell ref="A3:H4"/>
    <mergeCell ref="A5:A9"/>
    <mergeCell ref="B5:G5"/>
    <mergeCell ref="H5:H9"/>
    <mergeCell ref="B6:C6"/>
    <mergeCell ref="D6:G6"/>
    <mergeCell ref="B7:B9"/>
    <mergeCell ref="C7:C9"/>
    <mergeCell ref="D7:G7"/>
  </mergeCells>
  <dataValidations count="1">
    <dataValidation allowBlank="1" showInputMessage="1" showErrorMessage="1" sqref="B23:B40" xr:uid="{E414177A-E251-44FF-9022-147E572AA2D4}"/>
  </dataValidations>
  <pageMargins left="0.7" right="0.45" top="0.25" bottom="0.5" header="0" footer="0.15"/>
  <pageSetup scale="67" fitToHeight="0" orientation="landscape" horizontalDpi="1200" verticalDpi="1200"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8A4C7FF-5A9C-4448-812C-0842304E4C35}">
          <x14:formula1>
            <xm:f>'C:\Users\dpelosi\AppData\Local\Microsoft\Windows\INetCache\Content.Outlook\OJP1FSCU\[2023 Six-Year Plan (Part I)_Strategies.Tab 6_REVISED-June15.xlsx]Request Categories'!#REF!</xm:f>
          </x14:formula1>
          <xm:sqref>C10:C37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1e94d65-ae71-498a-a453-e1c80605881d">
      <UserInfo>
        <DisplayName/>
        <AccountId xsi:nil="true"/>
        <AccountType/>
      </UserInfo>
    </SharedWithUsers>
    <TaxCatchAll xmlns="01e94d65-ae71-498a-a453-e1c80605881d" xsi:nil="true"/>
    <lcf76f155ced4ddcb4097134ff3c332f xmlns="f3d35a40-bbea-43c8-99cf-c6b5d40b3585">
      <Terms xmlns="http://schemas.microsoft.com/office/infopath/2007/PartnerControls"/>
    </lcf76f155ced4ddcb4097134ff3c332f>
    <MediaLengthInSeconds xmlns="f3d35a40-bbea-43c8-99cf-c6b5d40b358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F6ACE0-42DD-46D1-81CB-319766E031AB}"/>
</file>

<file path=customXml/itemProps2.xml><?xml version="1.0" encoding="utf-8"?>
<ds:datastoreItem xmlns:ds="http://schemas.openxmlformats.org/officeDocument/2006/customXml" ds:itemID="{B7AEF3AB-CF8C-43C6-AB0E-667C763AB5AF}"/>
</file>

<file path=customXml/itemProps3.xml><?xml version="1.0" encoding="utf-8"?>
<ds:datastoreItem xmlns:ds="http://schemas.openxmlformats.org/officeDocument/2006/customXml" ds:itemID="{18FF8618-F01A-4D39-9FDD-78E33F027F8E}"/>
</file>

<file path=docProps/app.xml><?xml version="1.0" encoding="utf-8"?>
<Properties xmlns="http://schemas.openxmlformats.org/officeDocument/2006/extended-properties" xmlns:vt="http://schemas.openxmlformats.org/officeDocument/2006/docPropsVTypes">
  <Application>Microsoft Excel Online</Application>
  <Manager/>
  <Company>George Mason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Pelosi</dc:creator>
  <cp:keywords/>
  <dc:description/>
  <cp:lastModifiedBy>Li Zhou</cp:lastModifiedBy>
  <cp:revision/>
  <dcterms:created xsi:type="dcterms:W3CDTF">2023-06-29T12:45:53Z</dcterms:created>
  <dcterms:modified xsi:type="dcterms:W3CDTF">2023-10-03T15:58:25Z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Order">
    <vt:r8>220200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ies>
</file>