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FINAL PLANS FOR WEBSITE\LU\"/>
    </mc:Choice>
  </mc:AlternateContent>
  <bookViews>
    <workbookView xWindow="0" yWindow="0" windowWidth="19200" windowHeight="8440" firstSheet="1"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'3-Academic-Financial'!$A$1:$L$61</definedName>
    <definedName name="_xlnm.Print_Area" localSheetId="5">'4-GF Request'!$A$1:$H$16</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62913"/>
</workbook>
</file>

<file path=xl/calcChain.xml><?xml version="1.0" encoding="utf-8"?>
<calcChain xmlns="http://schemas.openxmlformats.org/spreadsheetml/2006/main">
  <c r="G47" i="5" l="1"/>
  <c r="C51" i="28"/>
  <c r="D30" i="2" l="1"/>
  <c r="B30" i="2"/>
  <c r="E30" i="2"/>
  <c r="C30" i="2"/>
  <c r="D28" i="2"/>
  <c r="D27" i="2"/>
  <c r="E51" i="28" l="1"/>
  <c r="E52" i="28"/>
  <c r="E39" i="28"/>
  <c r="E38" i="28"/>
  <c r="C52" i="28" l="1"/>
  <c r="C39" i="28"/>
  <c r="C38" i="28"/>
  <c r="F44" i="5" l="1"/>
  <c r="C21" i="2" l="1"/>
  <c r="D9" i="29" l="1"/>
  <c r="B9" i="29"/>
  <c r="G46" i="5" l="1"/>
  <c r="D46" i="5"/>
  <c r="E56" i="28" l="1"/>
  <c r="E43" i="28"/>
  <c r="E30" i="28"/>
  <c r="C56" i="28"/>
  <c r="C43" i="28"/>
  <c r="C30" i="28"/>
  <c r="I12" i="28" l="1"/>
  <c r="J12" i="28" s="1"/>
  <c r="D50" i="5"/>
  <c r="G48" i="5"/>
  <c r="G41" i="5"/>
  <c r="G36" i="5"/>
  <c r="G34" i="5"/>
  <c r="G32" i="5"/>
  <c r="D48" i="5"/>
  <c r="D45" i="5"/>
  <c r="E22" i="2"/>
  <c r="D15" i="29" l="1"/>
  <c r="B15" i="29"/>
  <c r="D32" i="5"/>
  <c r="C27" i="2" l="1"/>
  <c r="C28" i="2"/>
  <c r="A15" i="29" l="1"/>
  <c r="A9" i="29"/>
  <c r="D40" i="5" l="1"/>
  <c r="E40" i="5"/>
  <c r="F40" i="5"/>
  <c r="G40" i="5"/>
  <c r="H40" i="5"/>
  <c r="I40" i="5"/>
  <c r="E15" i="29" l="1"/>
  <c r="E9" i="29"/>
  <c r="C9" i="29"/>
  <c r="C15" i="29"/>
  <c r="A2" i="29" l="1"/>
  <c r="A2" i="28" l="1"/>
  <c r="G56" i="28"/>
  <c r="F56" i="28"/>
  <c r="D56" i="28"/>
  <c r="G55" i="28"/>
  <c r="F55" i="28"/>
  <c r="D55" i="28"/>
  <c r="F54" i="28"/>
  <c r="F53" i="28"/>
  <c r="D53" i="28"/>
  <c r="G43" i="28"/>
  <c r="F43" i="28"/>
  <c r="D43" i="28"/>
  <c r="G42" i="28"/>
  <c r="F42" i="28"/>
  <c r="D42" i="28"/>
  <c r="F41" i="28"/>
  <c r="F44" i="28" s="1"/>
  <c r="F40" i="28"/>
  <c r="D40" i="28"/>
  <c r="G30" i="28"/>
  <c r="F30" i="28"/>
  <c r="D30" i="28"/>
  <c r="G29" i="28"/>
  <c r="F29" i="28"/>
  <c r="D29" i="28"/>
  <c r="F28" i="28"/>
  <c r="F27" i="28"/>
  <c r="D27" i="28"/>
  <c r="G17" i="28"/>
  <c r="F17" i="28"/>
  <c r="E17" i="28"/>
  <c r="C17" i="28"/>
  <c r="D17" i="28" s="1"/>
  <c r="G16" i="28"/>
  <c r="F16" i="28"/>
  <c r="D16" i="28"/>
  <c r="F15" i="28"/>
  <c r="D15" i="28"/>
  <c r="F14" i="28"/>
  <c r="D14" i="28"/>
  <c r="D12" i="28"/>
  <c r="G57" i="28" l="1"/>
  <c r="F18" i="28"/>
  <c r="C18" i="28"/>
  <c r="G31" i="28"/>
  <c r="C57" i="28"/>
  <c r="C31" i="28"/>
  <c r="I38" i="28"/>
  <c r="J38" i="28" s="1"/>
  <c r="I51" i="28"/>
  <c r="J51" i="28" s="1"/>
  <c r="E18" i="28"/>
  <c r="I25" i="28"/>
  <c r="J25" i="28" s="1"/>
  <c r="C44" i="28"/>
  <c r="G44" i="28"/>
  <c r="F57" i="28"/>
  <c r="G18" i="28"/>
  <c r="E31" i="28"/>
  <c r="E44" i="28"/>
  <c r="E57" i="28"/>
  <c r="F31" i="28"/>
  <c r="E32" i="5"/>
  <c r="F16" i="21" l="1"/>
  <c r="D16" i="21"/>
  <c r="H43" i="5"/>
  <c r="E43" i="5"/>
  <c r="H49" i="5"/>
  <c r="G49" i="5" s="1"/>
  <c r="F49" i="5"/>
  <c r="E49" i="5"/>
  <c r="D49" i="5" s="1"/>
  <c r="I39" i="5"/>
  <c r="G39" i="5" s="1"/>
  <c r="I37" i="5"/>
  <c r="I35" i="5"/>
  <c r="F39" i="5"/>
  <c r="D39" i="5" s="1"/>
  <c r="F37" i="5"/>
  <c r="D37" i="5" s="1"/>
  <c r="F35" i="5"/>
  <c r="D35" i="5" s="1"/>
  <c r="D33" i="5"/>
  <c r="I33" i="5"/>
  <c r="E16" i="21"/>
  <c r="A2" i="21"/>
  <c r="G16" i="21"/>
  <c r="H50" i="5"/>
  <c r="H44" i="5"/>
  <c r="I44" i="5"/>
  <c r="H42" i="5"/>
  <c r="H38" i="5"/>
  <c r="E44" i="5"/>
  <c r="E41" i="5"/>
  <c r="E38" i="5"/>
  <c r="E36" i="5"/>
  <c r="E34" i="5"/>
  <c r="H23" i="5"/>
  <c r="H22" i="5"/>
  <c r="H21" i="5"/>
  <c r="H20" i="5"/>
  <c r="H19" i="5"/>
  <c r="H18" i="5"/>
  <c r="H16" i="5"/>
  <c r="H15" i="5"/>
  <c r="E23" i="5"/>
  <c r="E22" i="5"/>
  <c r="E21" i="5"/>
  <c r="E20" i="5"/>
  <c r="E19" i="5"/>
  <c r="E18" i="5"/>
  <c r="E16" i="5"/>
  <c r="E15" i="5"/>
  <c r="E13" i="5"/>
  <c r="I50" i="5"/>
  <c r="I38" i="5"/>
  <c r="I23" i="5"/>
  <c r="I22" i="5"/>
  <c r="I21" i="5"/>
  <c r="I20" i="5"/>
  <c r="I19" i="5"/>
  <c r="I18" i="5"/>
  <c r="I15" i="5"/>
  <c r="A2" i="5"/>
  <c r="F36" i="5"/>
  <c r="F34" i="5"/>
  <c r="F32" i="5"/>
  <c r="B52" i="28"/>
  <c r="B53" i="28"/>
  <c r="H53" i="28" s="1"/>
  <c r="B54" i="28"/>
  <c r="E11" i="2"/>
  <c r="E12" i="2"/>
  <c r="E13" i="2"/>
  <c r="E14" i="2"/>
  <c r="E15" i="2"/>
  <c r="E16" i="2"/>
  <c r="E17" i="2"/>
  <c r="E18" i="2"/>
  <c r="E19" i="2"/>
  <c r="E20" i="2"/>
  <c r="B39" i="28"/>
  <c r="B40" i="28"/>
  <c r="H40" i="28" s="1"/>
  <c r="B41" i="28"/>
  <c r="D11" i="2"/>
  <c r="D13" i="2"/>
  <c r="D15" i="2"/>
  <c r="D17" i="2"/>
  <c r="D19" i="2"/>
  <c r="D12" i="2"/>
  <c r="D14" i="2"/>
  <c r="D16" i="2"/>
  <c r="D18" i="2"/>
  <c r="D20" i="2"/>
  <c r="B26" i="28"/>
  <c r="B27" i="28"/>
  <c r="H27" i="28" s="1"/>
  <c r="B28" i="28"/>
  <c r="C11" i="2"/>
  <c r="C12" i="2"/>
  <c r="C13" i="2"/>
  <c r="C14" i="2"/>
  <c r="C16" i="2"/>
  <c r="C18" i="2"/>
  <c r="C20" i="2"/>
  <c r="C15" i="2"/>
  <c r="C17" i="2"/>
  <c r="C19" i="2"/>
  <c r="B12" i="28"/>
  <c r="B13" i="28"/>
  <c r="B14" i="28"/>
  <c r="H14" i="28" s="1"/>
  <c r="B15" i="28"/>
  <c r="H15" i="28" s="1"/>
  <c r="B11" i="2"/>
  <c r="B12" i="2"/>
  <c r="B13" i="2"/>
  <c r="B14" i="2"/>
  <c r="B15" i="2"/>
  <c r="B16" i="2"/>
  <c r="B17" i="2"/>
  <c r="B18" i="2"/>
  <c r="B19" i="2"/>
  <c r="B20" i="2"/>
  <c r="F41" i="5"/>
  <c r="F38" i="5"/>
  <c r="F23" i="5"/>
  <c r="F19" i="5"/>
  <c r="F18" i="5"/>
  <c r="F12" i="5"/>
  <c r="F13" i="5"/>
  <c r="F14" i="5"/>
  <c r="F20" i="5"/>
  <c r="F21" i="5"/>
  <c r="F22" i="5"/>
  <c r="F15" i="5"/>
  <c r="D108" i="9"/>
  <c r="G108" i="9"/>
  <c r="H108" i="9"/>
  <c r="D87" i="9"/>
  <c r="G87" i="9"/>
  <c r="H87" i="9"/>
  <c r="G66" i="9"/>
  <c r="D66" i="9"/>
  <c r="H66" i="9"/>
  <c r="D45" i="9"/>
  <c r="G45" i="9"/>
  <c r="H45" i="9"/>
  <c r="D24" i="9"/>
  <c r="G24" i="9"/>
  <c r="H24" i="9"/>
  <c r="D37" i="9"/>
  <c r="G37" i="9"/>
  <c r="H37" i="9"/>
  <c r="F47" i="9"/>
  <c r="E47" i="9"/>
  <c r="C47" i="9"/>
  <c r="B47" i="9"/>
  <c r="D46" i="9"/>
  <c r="G46" i="9"/>
  <c r="H46" i="9"/>
  <c r="G44" i="9"/>
  <c r="D44" i="9"/>
  <c r="H44" i="9"/>
  <c r="G43" i="9"/>
  <c r="D43" i="9"/>
  <c r="H43" i="9"/>
  <c r="G42" i="9"/>
  <c r="D42" i="9"/>
  <c r="G41" i="9"/>
  <c r="D41" i="9"/>
  <c r="G40" i="9"/>
  <c r="D40" i="9"/>
  <c r="G39" i="9"/>
  <c r="D39" i="9"/>
  <c r="H39" i="9"/>
  <c r="G38" i="9"/>
  <c r="D38" i="9"/>
  <c r="G36" i="9"/>
  <c r="D36" i="9"/>
  <c r="G34" i="9"/>
  <c r="D34" i="9"/>
  <c r="H34" i="9"/>
  <c r="G33" i="9"/>
  <c r="D33" i="9"/>
  <c r="G32" i="9"/>
  <c r="D32" i="9"/>
  <c r="G31" i="9"/>
  <c r="D31" i="9"/>
  <c r="H31" i="9"/>
  <c r="F110" i="9"/>
  <c r="E110" i="9"/>
  <c r="C110" i="9"/>
  <c r="B110" i="9"/>
  <c r="G109" i="9"/>
  <c r="D109" i="9"/>
  <c r="G107" i="9"/>
  <c r="D107" i="9"/>
  <c r="H107" i="9"/>
  <c r="G106" i="9"/>
  <c r="D106" i="9"/>
  <c r="H106" i="9"/>
  <c r="G105" i="9"/>
  <c r="D105" i="9"/>
  <c r="H105" i="9"/>
  <c r="G104" i="9"/>
  <c r="D104" i="9"/>
  <c r="G103" i="9"/>
  <c r="D103" i="9"/>
  <c r="G102" i="9"/>
  <c r="D102" i="9"/>
  <c r="G101" i="9"/>
  <c r="D101" i="9"/>
  <c r="G100" i="9"/>
  <c r="D100" i="9"/>
  <c r="G99" i="9"/>
  <c r="D99" i="9"/>
  <c r="H99" i="9"/>
  <c r="G98" i="9"/>
  <c r="D98" i="9"/>
  <c r="G97" i="9"/>
  <c r="D97" i="9"/>
  <c r="G96" i="9"/>
  <c r="D96" i="9"/>
  <c r="G95" i="9"/>
  <c r="D95" i="9"/>
  <c r="G94" i="9"/>
  <c r="D94" i="9"/>
  <c r="F89" i="9"/>
  <c r="E89" i="9"/>
  <c r="C89" i="9"/>
  <c r="B89" i="9"/>
  <c r="G88" i="9"/>
  <c r="D88" i="9"/>
  <c r="H88" i="9"/>
  <c r="G86" i="9"/>
  <c r="D86" i="9"/>
  <c r="G85" i="9"/>
  <c r="D85" i="9"/>
  <c r="H85" i="9"/>
  <c r="G84" i="9"/>
  <c r="D84" i="9"/>
  <c r="G83" i="9"/>
  <c r="D83" i="9"/>
  <c r="H83" i="9"/>
  <c r="G82" i="9"/>
  <c r="D82" i="9"/>
  <c r="H82" i="9"/>
  <c r="G81" i="9"/>
  <c r="D81" i="9"/>
  <c r="H81" i="9"/>
  <c r="G80" i="9"/>
  <c r="D80" i="9"/>
  <c r="G79" i="9"/>
  <c r="D79" i="9"/>
  <c r="H79" i="9"/>
  <c r="G78" i="9"/>
  <c r="D78" i="9"/>
  <c r="G77" i="9"/>
  <c r="D77" i="9"/>
  <c r="H77" i="9"/>
  <c r="G76" i="9"/>
  <c r="D76" i="9"/>
  <c r="H76" i="9"/>
  <c r="G75" i="9"/>
  <c r="D75" i="9"/>
  <c r="H75" i="9"/>
  <c r="G74" i="9"/>
  <c r="D74" i="9"/>
  <c r="G73" i="9"/>
  <c r="D73" i="9"/>
  <c r="G56" i="9"/>
  <c r="D56" i="9"/>
  <c r="H56" i="9"/>
  <c r="F68" i="9"/>
  <c r="E68" i="9"/>
  <c r="C68" i="9"/>
  <c r="B68" i="9"/>
  <c r="G67" i="9"/>
  <c r="D67" i="9"/>
  <c r="G65" i="9"/>
  <c r="D65" i="9"/>
  <c r="G64" i="9"/>
  <c r="D64" i="9"/>
  <c r="H64" i="9"/>
  <c r="G63" i="9"/>
  <c r="D63" i="9"/>
  <c r="G62" i="9"/>
  <c r="D62" i="9"/>
  <c r="G61" i="9"/>
  <c r="D61" i="9"/>
  <c r="G60" i="9"/>
  <c r="D60" i="9"/>
  <c r="G59" i="9"/>
  <c r="D59" i="9"/>
  <c r="G58" i="9"/>
  <c r="D58" i="9"/>
  <c r="G57" i="9"/>
  <c r="D57" i="9"/>
  <c r="G55" i="9"/>
  <c r="D55" i="9"/>
  <c r="G54" i="9"/>
  <c r="D54" i="9"/>
  <c r="G53" i="9"/>
  <c r="D53" i="9"/>
  <c r="G52" i="9"/>
  <c r="D52" i="9"/>
  <c r="F26" i="9"/>
  <c r="E26" i="9"/>
  <c r="C26" i="9"/>
  <c r="B26" i="9"/>
  <c r="H54" i="9"/>
  <c r="H97" i="9"/>
  <c r="H109" i="9"/>
  <c r="H38" i="9"/>
  <c r="H33" i="9"/>
  <c r="H32" i="9"/>
  <c r="H36" i="9"/>
  <c r="H40" i="9"/>
  <c r="H41" i="9"/>
  <c r="H42" i="9"/>
  <c r="H47" i="9"/>
  <c r="H103" i="9"/>
  <c r="G68" i="9"/>
  <c r="H53" i="9"/>
  <c r="H58" i="9"/>
  <c r="H62" i="9"/>
  <c r="H67" i="9"/>
  <c r="H96" i="9"/>
  <c r="H104" i="9"/>
  <c r="H78" i="9"/>
  <c r="H100" i="9"/>
  <c r="G47" i="9"/>
  <c r="H59" i="9"/>
  <c r="H73" i="9"/>
  <c r="H86" i="9"/>
  <c r="H94" i="9"/>
  <c r="H101" i="9"/>
  <c r="H61" i="9"/>
  <c r="H65" i="9"/>
  <c r="H55" i="9"/>
  <c r="H63" i="9"/>
  <c r="G89" i="9"/>
  <c r="H80" i="9"/>
  <c r="G110" i="9"/>
  <c r="H98" i="9"/>
  <c r="H57" i="9"/>
  <c r="D68" i="9"/>
  <c r="H60" i="9"/>
  <c r="H74" i="9"/>
  <c r="H84" i="9"/>
  <c r="D110" i="9"/>
  <c r="H102" i="9"/>
  <c r="D47" i="9"/>
  <c r="H95" i="9"/>
  <c r="D89" i="9"/>
  <c r="H52" i="9"/>
  <c r="H110" i="9"/>
  <c r="H89" i="9"/>
  <c r="H68" i="9"/>
  <c r="G10" i="9"/>
  <c r="D10" i="9"/>
  <c r="H10" i="9"/>
  <c r="G25" i="9"/>
  <c r="D25" i="9"/>
  <c r="G23" i="9"/>
  <c r="D23" i="9"/>
  <c r="G22" i="9"/>
  <c r="D22" i="9"/>
  <c r="G21" i="9"/>
  <c r="D21" i="9"/>
  <c r="H21" i="9"/>
  <c r="G20" i="9"/>
  <c r="D20" i="9"/>
  <c r="G19" i="9"/>
  <c r="D19" i="9"/>
  <c r="G18" i="9"/>
  <c r="D18" i="9"/>
  <c r="G17" i="9"/>
  <c r="D17" i="9"/>
  <c r="H17" i="9"/>
  <c r="G15" i="9"/>
  <c r="D15" i="9"/>
  <c r="G13" i="9"/>
  <c r="D13" i="9"/>
  <c r="G12" i="9"/>
  <c r="D12" i="9"/>
  <c r="G11" i="9"/>
  <c r="D11" i="9"/>
  <c r="H11" i="9"/>
  <c r="G26" i="9"/>
  <c r="D26" i="9"/>
  <c r="H15" i="9"/>
  <c r="H20" i="9"/>
  <c r="H25" i="9"/>
  <c r="H13" i="9"/>
  <c r="H19" i="9"/>
  <c r="H23" i="9"/>
  <c r="H12" i="9"/>
  <c r="H18" i="9"/>
  <c r="H22" i="9"/>
  <c r="H26" i="9"/>
  <c r="A1" i="9"/>
  <c r="A2" i="9"/>
  <c r="A2" i="2"/>
  <c r="H54" i="28" l="1"/>
  <c r="D54" i="28"/>
  <c r="H52" i="28"/>
  <c r="D52" i="28"/>
  <c r="H26" i="28"/>
  <c r="D26" i="28"/>
  <c r="H28" i="28"/>
  <c r="D28" i="28"/>
  <c r="H41" i="28"/>
  <c r="D41" i="28"/>
  <c r="H39" i="28"/>
  <c r="D39" i="28"/>
  <c r="H13" i="28"/>
  <c r="D13" i="28"/>
  <c r="G12" i="5"/>
  <c r="G38" i="5"/>
  <c r="B51" i="28"/>
  <c r="C29" i="2"/>
  <c r="B38" i="28"/>
  <c r="D22" i="2"/>
  <c r="B25" i="28"/>
  <c r="C22" i="2"/>
  <c r="G16" i="5"/>
  <c r="G20" i="5"/>
  <c r="G42" i="5"/>
  <c r="G11" i="5"/>
  <c r="G15" i="5"/>
  <c r="G19" i="5"/>
  <c r="G23" i="5"/>
  <c r="E29" i="2"/>
  <c r="B29" i="28"/>
  <c r="H29" i="28" s="1"/>
  <c r="B17" i="28"/>
  <c r="H17" i="28" s="1"/>
  <c r="B56" i="28"/>
  <c r="H56" i="28" s="1"/>
  <c r="D29" i="2"/>
  <c r="D21" i="5"/>
  <c r="H12" i="28"/>
  <c r="B30" i="28"/>
  <c r="H30" i="28" s="1"/>
  <c r="B42" i="28"/>
  <c r="H42" i="28" s="1"/>
  <c r="B16" i="28"/>
  <c r="H16" i="28" s="1"/>
  <c r="B43" i="28"/>
  <c r="H43" i="28" s="1"/>
  <c r="B55" i="28"/>
  <c r="H55" i="28" s="1"/>
  <c r="B29" i="2"/>
  <c r="B22" i="2"/>
  <c r="D36" i="5"/>
  <c r="D13" i="5"/>
  <c r="D11" i="5"/>
  <c r="D15" i="5"/>
  <c r="D19" i="5"/>
  <c r="G14" i="5"/>
  <c r="G18" i="5"/>
  <c r="G22" i="5"/>
  <c r="D44" i="5"/>
  <c r="G44" i="5"/>
  <c r="D23" i="5"/>
  <c r="E25" i="5"/>
  <c r="D16" i="5"/>
  <c r="D20" i="5"/>
  <c r="H25" i="5"/>
  <c r="G45" i="5"/>
  <c r="D43" i="5"/>
  <c r="D38" i="5"/>
  <c r="D34" i="5"/>
  <c r="D41" i="5"/>
  <c r="I25" i="5"/>
  <c r="F25" i="5"/>
  <c r="D18" i="5"/>
  <c r="D22" i="5"/>
  <c r="G13" i="5"/>
  <c r="G21" i="5"/>
  <c r="D42" i="5"/>
  <c r="G50" i="5"/>
  <c r="G43" i="5"/>
  <c r="D12" i="5"/>
  <c r="H31" i="5" l="1"/>
  <c r="H51" i="5" s="1"/>
  <c r="E31" i="5"/>
  <c r="E51" i="5" s="1"/>
  <c r="I31" i="5"/>
  <c r="I51" i="5" s="1"/>
  <c r="I60" i="5" s="1"/>
  <c r="F31" i="5"/>
  <c r="F51" i="5" s="1"/>
  <c r="H60" i="5" s="1"/>
  <c r="H51" i="28"/>
  <c r="H57" i="28" s="1"/>
  <c r="D51" i="28"/>
  <c r="H25" i="28"/>
  <c r="H31" i="28" s="1"/>
  <c r="D25" i="28"/>
  <c r="H38" i="28"/>
  <c r="H44" i="28" s="1"/>
  <c r="D38" i="28"/>
  <c r="B18" i="28"/>
  <c r="D18" i="28" s="1"/>
  <c r="B31" i="28"/>
  <c r="D31" i="28" s="1"/>
  <c r="G25" i="5"/>
  <c r="B44" i="28"/>
  <c r="D44" i="28" s="1"/>
  <c r="H18" i="28"/>
  <c r="B57" i="28"/>
  <c r="D57" i="28" s="1"/>
  <c r="D25" i="5"/>
  <c r="G31" i="5" l="1"/>
  <c r="G51" i="5" s="1"/>
  <c r="D31" i="5"/>
  <c r="D51" i="5" s="1"/>
</calcChain>
</file>

<file path=xl/sharedStrings.xml><?xml version="1.0" encoding="utf-8"?>
<sst xmlns="http://schemas.openxmlformats.org/spreadsheetml/2006/main" count="541" uniqueCount="302">
  <si>
    <t xml:space="preserve">Items </t>
  </si>
  <si>
    <t>Notes:</t>
  </si>
  <si>
    <t>Total Additional Funding Need</t>
  </si>
  <si>
    <t>Other NGF</t>
  </si>
  <si>
    <t>Reallocation</t>
  </si>
  <si>
    <t>Institution UNITID:</t>
  </si>
  <si>
    <t>Individual responsible for plan</t>
  </si>
  <si>
    <t>Name:</t>
  </si>
  <si>
    <t>Email address:</t>
  </si>
  <si>
    <t>Telephone number:</t>
  </si>
  <si>
    <t>Institution:</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</si>
  <si>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</si>
  <si>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</si>
  <si>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</si>
  <si>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</si>
  <si>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</si>
  <si>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</si>
  <si>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</si>
  <si>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</si>
  <si>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</si>
  <si>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</si>
  <si>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</si>
  <si>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</si>
  <si>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</si>
  <si>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</si>
  <si>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</si>
  <si>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</si>
  <si>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</si>
  <si>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</si>
  <si>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</si>
  <si>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</si>
  <si>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</si>
  <si>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</si>
  <si>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</si>
  <si>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</si>
  <si>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</si>
  <si>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</si>
  <si>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</si>
  <si>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</si>
  <si>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</si>
  <si>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</si>
  <si>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</si>
  <si>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</si>
  <si>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</si>
  <si>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</si>
  <si>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</si>
  <si>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</si>
  <si>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</si>
  <si>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</si>
  <si>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</si>
  <si>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</si>
  <si>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</si>
  <si>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</si>
  <si>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</si>
  <si>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</si>
  <si>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</si>
  <si>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</si>
  <si>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</si>
  <si>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</si>
  <si>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</si>
  <si>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</si>
  <si>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</si>
  <si>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</si>
  <si>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</si>
  <si>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</si>
  <si>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</si>
  <si>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</si>
  <si>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</si>
  <si>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</si>
  <si>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</si>
  <si>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</si>
  <si>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</si>
  <si>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</si>
  <si>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</si>
  <si>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</si>
  <si>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</si>
  <si>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</si>
  <si>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</si>
  <si>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</si>
  <si>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</si>
  <si>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</si>
  <si>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</si>
  <si>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</si>
  <si>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</si>
  <si>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</si>
  <si>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</si>
  <si>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</si>
  <si>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</si>
  <si>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</si>
  <si>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</si>
  <si>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</si>
  <si>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</si>
  <si>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</si>
  <si>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</si>
  <si>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</si>
  <si>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</si>
  <si>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</si>
  <si>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</si>
  <si>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</si>
  <si>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</si>
  <si>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</si>
  <si>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</si>
  <si>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</si>
  <si>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</si>
  <si>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</si>
  <si>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</si>
  <si>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</si>
  <si>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</si>
  <si>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</si>
  <si>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</si>
  <si>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</si>
  <si>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</si>
  <si>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</si>
  <si>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</si>
  <si>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</si>
  <si>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</si>
  <si>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</si>
  <si>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</si>
  <si>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</si>
  <si>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</si>
  <si>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</si>
  <si>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</si>
  <si>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</si>
  <si>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</si>
  <si>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</si>
  <si>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</si>
  <si>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</si>
  <si>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</si>
  <si>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</si>
  <si>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</si>
  <si>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</si>
  <si>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</si>
  <si>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</si>
  <si>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</si>
  <si>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</si>
  <si>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</si>
  <si>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</si>
  <si>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</si>
  <si>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</si>
  <si>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</si>
  <si>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</si>
  <si>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</si>
  <si>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</si>
  <si>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</si>
  <si>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</si>
  <si>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</si>
  <si>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</si>
  <si>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</si>
  <si>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</si>
  <si>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</si>
  <si>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</si>
  <si>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</si>
  <si>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</si>
  <si>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</si>
  <si>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</si>
  <si>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</si>
  <si>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</si>
  <si>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</si>
  <si>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</si>
  <si>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</si>
  <si>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</si>
  <si>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</si>
  <si>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</si>
  <si>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</si>
  <si>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</si>
  <si>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</si>
  <si>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</si>
  <si>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</si>
  <si>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</si>
  <si>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</si>
  <si>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</si>
  <si>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</si>
  <si>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</si>
  <si>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</si>
  <si>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</si>
  <si>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</si>
  <si>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</si>
  <si>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</si>
  <si>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</si>
  <si>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</si>
  <si>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</si>
  <si>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</si>
  <si>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</si>
  <si>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</si>
  <si>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</si>
  <si>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</si>
  <si>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</si>
  <si>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</si>
  <si>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</si>
  <si>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</si>
  <si>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</si>
  <si>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</si>
  <si>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</si>
  <si>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</si>
  <si>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</si>
  <si>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</si>
  <si>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</si>
  <si>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</si>
  <si>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</si>
  <si>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</si>
  <si>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</si>
  <si>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</si>
  <si>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</si>
  <si>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</si>
  <si>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</si>
  <si>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</si>
  <si>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</si>
  <si>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</si>
  <si>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</si>
  <si>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</si>
  <si>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</si>
  <si>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</si>
  <si>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</si>
  <si>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</si>
  <si>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</si>
  <si>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</si>
  <si>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</si>
  <si>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</si>
  <si>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</si>
  <si>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</si>
  <si>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</si>
  <si>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</si>
  <si>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</si>
  <si>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</si>
  <si>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</si>
  <si>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</si>
  <si>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</si>
  <si>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</si>
  <si>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</si>
  <si>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</si>
  <si>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</si>
  <si>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</si>
  <si>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</si>
  <si>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</si>
  <si>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</si>
  <si>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</si>
  <si>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</si>
  <si>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</si>
  <si>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</si>
  <si>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</si>
  <si>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</si>
  <si>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</si>
  <si>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</si>
  <si>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</si>
  <si>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</si>
  <si>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</si>
  <si>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</si>
  <si>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</si>
  <si>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</si>
  <si>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</si>
  <si>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</si>
  <si>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</si>
  <si>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</si>
  <si>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</si>
  <si>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</si>
  <si>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(3) If planned, enter the cost of additional FTE faculty.</t>
  </si>
  <si>
    <t>Insurance Cost Increase</t>
  </si>
  <si>
    <r>
      <t>Increase Classified Staff Salaries ($)</t>
    </r>
    <r>
      <rPr>
        <vertAlign val="superscript"/>
        <sz val="12"/>
        <rFont val="Arial"/>
        <family val="2"/>
      </rPr>
      <t>4</t>
    </r>
  </si>
  <si>
    <r>
      <t>O&amp;M for New Facilities</t>
    </r>
    <r>
      <rPr>
        <vertAlign val="superscript"/>
        <sz val="12"/>
        <rFont val="Arial"/>
        <family val="2"/>
      </rPr>
      <t>5</t>
    </r>
  </si>
  <si>
    <t>(5) New Facilities building will come on line July 2023</t>
  </si>
  <si>
    <t>(4) Salary increases assume 47.5% GF and 52.5% NGF split based on DPB assumptions for central adjustments</t>
  </si>
  <si>
    <r>
      <t>Nongeneral Fund for Current Operations</t>
    </r>
    <r>
      <rPr>
        <vertAlign val="superscript"/>
        <sz val="12"/>
        <rFont val="Arial"/>
        <family val="2"/>
      </rPr>
      <t xml:space="preserve"> 6</t>
    </r>
    <r>
      <rPr>
        <sz val="8"/>
        <rFont val="Arial"/>
        <family val="2"/>
      </rPr>
      <t>(Safety &amp; Security; Fringe Benefits)</t>
    </r>
  </si>
  <si>
    <t>Other Unavoidable Cost Increases due to loss of GF</t>
  </si>
  <si>
    <t>(6) Assumes 1% increase in fringe benefits in 2023</t>
  </si>
  <si>
    <t>Faculty and Staff Equity, Retention and Promotion Pool</t>
  </si>
  <si>
    <t>Graduate Program Support</t>
  </si>
  <si>
    <r>
      <t>Increase T&amp;R Faculty Salaries ($</t>
    </r>
    <r>
      <rPr>
        <vertAlign val="superscript"/>
        <sz val="12"/>
        <rFont val="Arial"/>
        <family val="2"/>
      </rPr>
      <t>)2</t>
    </r>
    <r>
      <rPr>
        <sz val="12"/>
        <rFont val="Arial"/>
        <family val="2"/>
      </rPr>
      <t>,</t>
    </r>
    <r>
      <rPr>
        <vertAlign val="superscript"/>
        <sz val="12"/>
        <rFont val="Arial"/>
        <family val="2"/>
      </rPr>
      <t>4</t>
    </r>
  </si>
  <si>
    <r>
      <t>Increase Admin. Faculty Salaries ($)</t>
    </r>
    <r>
      <rPr>
        <vertAlign val="superscript"/>
        <sz val="12"/>
        <rFont val="Arial"/>
        <family val="2"/>
      </rPr>
      <t>2</t>
    </r>
    <r>
      <rPr>
        <sz val="12"/>
        <rFont val="Arial"/>
        <family val="2"/>
      </rPr>
      <t>,</t>
    </r>
    <r>
      <rPr>
        <vertAlign val="superscript"/>
        <sz val="12"/>
        <rFont val="Arial"/>
        <family val="2"/>
      </rPr>
      <t>4</t>
    </r>
  </si>
  <si>
    <r>
      <t>Admin. Faculty Salary Increase Rate (%)</t>
    </r>
    <r>
      <rPr>
        <vertAlign val="superscript"/>
        <sz val="12"/>
        <rFont val="Arial"/>
        <family val="2"/>
      </rPr>
      <t>2,4</t>
    </r>
  </si>
  <si>
    <t xml:space="preserve">(2) Plan assumes faculty and A/P received salary increase equivalent to 3.5% based on performance and merit,classified and valors receive 5%, accoss the board if performance meets expectations in FY2024.  </t>
  </si>
  <si>
    <t xml:space="preserve">Longwood University </t>
  </si>
  <si>
    <t>214</t>
  </si>
  <si>
    <t xml:space="preserve">Emily O'Brion </t>
  </si>
  <si>
    <t>obrionef@longwood.edu</t>
  </si>
  <si>
    <t>804-317-6766</t>
  </si>
  <si>
    <t>Improved Student Access and Success</t>
  </si>
  <si>
    <t>1, 2, 3</t>
  </si>
  <si>
    <t>Address Unavoidable Cost Increases - Continued Base Funding</t>
  </si>
  <si>
    <t>Transformative Engagement - Work Study Redesign Pilot</t>
  </si>
  <si>
    <t>Transformative Engagement - Support for Community Initiatives in DEI and Public Education</t>
  </si>
  <si>
    <t>2, 3</t>
  </si>
  <si>
    <t>1,2,3</t>
  </si>
  <si>
    <t>1,3</t>
  </si>
  <si>
    <t>Continuation of $675,300 in base funding to address unavoidable cost increases and required new spending.</t>
  </si>
  <si>
    <t xml:space="preserve">Enhancement of Access and Affordability funding will address expected revenue loss and maintain quality and effectiveness of student access and support services. </t>
  </si>
  <si>
    <t xml:space="preserve">Additional financial aid funding to help enroll more low-income students. </t>
  </si>
  <si>
    <t>Scholarship support, recruitment and advising to build a pipeline for Call Me MISTER program.</t>
  </si>
  <si>
    <t xml:space="preserve">Support for Work Study Redesign to provide more opportunities for greater number of students. </t>
  </si>
  <si>
    <t>Funding for community DEI and education initiatives.</t>
  </si>
  <si>
    <t>Innovation in Teacher Preparation</t>
  </si>
  <si>
    <t>Expanded STEM and Health Professions Degrees</t>
  </si>
  <si>
    <t xml:space="preserve">Transformative Engagement </t>
  </si>
  <si>
    <t xml:space="preserve">Projected Unavoidable Cost Increases </t>
  </si>
  <si>
    <t>Student Access and Success initiatives, Section B, page 2</t>
  </si>
  <si>
    <t>Addressing statewide teacher shortage, Section B, page 3</t>
  </si>
  <si>
    <t>Nursing, Tech Talent, Section B, page 4</t>
  </si>
  <si>
    <t>Improved Student Access and Success - Additional Financial Aid Funding for Low-Income Students</t>
  </si>
  <si>
    <t>Address Unavoidable Cost Increases and Improved Student Access and Success - Enhanced Access and Affordability Funding</t>
  </si>
  <si>
    <t>Innovation in Teacher Preparation and Improved Student Access and Success - Call Me MISTER</t>
  </si>
  <si>
    <t>Work Study Redesign and Community DEI and Education initiatives, Section B, page 5</t>
  </si>
  <si>
    <t>Amounts for unavoidable costs (including through Reallocations and Tuition Revenue) are reflected in Section 3B. See also Section B, page 5.</t>
  </si>
  <si>
    <t>Section B, page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</si>
</sst>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
    <numFmt numFmtId="165" formatCode="0.0%"/>
    <numFmt numFmtId="166" formatCode="&quot;$&quot;#,##0.00"/>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b/>
      <sz val="11"/>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s>
  <cellStyleXfs count="138">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448">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31" xfId="0" applyNumberFormat="1" applyFont="1" applyBorder="1" applyAlignment="1">
      <alignment horizontal="right" vertical="center" wrapText="1"/>
    </xf>
    <xf numFmtId="164" fontId="17" fillId="0" borderId="52" xfId="0" applyNumberFormat="1" applyFont="1" applyBorder="1" applyAlignment="1">
      <alignment horizontal="right" vertical="center" wrapText="1"/>
    </xf>
    <xf numFmtId="0" fontId="34" fillId="0" borderId="49" xfId="0" applyFont="1" applyBorder="1" applyAlignment="1">
      <alignment horizontal="center" vertical="top"/>
    </xf>
    <xf numFmtId="0" fontId="34" fillId="0" borderId="52" xfId="0" applyFont="1" applyBorder="1" applyAlignment="1">
      <alignment horizontal="center" vertical="top"/>
    </xf>
    <xf numFmtId="0" fontId="14" fillId="2" borderId="0" xfId="0" applyFont="1" applyFill="1"/>
    <xf numFmtId="0" fontId="29" fillId="0" borderId="56" xfId="0" applyFont="1" applyBorder="1" applyAlignment="1">
      <alignment horizontal="center" vertical="top" wrapText="1"/>
    </xf>
    <xf numFmtId="0" fontId="29" fillId="0" borderId="57" xfId="0" applyFont="1" applyBorder="1" applyAlignment="1">
      <alignment horizontal="center" vertical="top" wrapText="1"/>
    </xf>
    <xf numFmtId="164" fontId="17" fillId="2" borderId="33" xfId="0" applyNumberFormat="1" applyFont="1" applyFill="1" applyBorder="1" applyAlignment="1">
      <alignment horizontal="right" vertical="center"/>
    </xf>
    <xf numFmtId="0" fontId="30" fillId="5" borderId="16" xfId="0" applyFont="1" applyFill="1" applyBorder="1" applyAlignment="1">
      <alignment horizontal="center" vertical="center" wrapText="1"/>
    </xf>
    <xf numFmtId="0" fontId="12" fillId="0" borderId="0" xfId="0" applyFont="1" applyAlignment="1"/>
    <xf numFmtId="164" fontId="17" fillId="2" borderId="34" xfId="0" applyNumberFormat="1" applyFont="1" applyFill="1" applyBorder="1" applyAlignment="1">
      <alignment horizontal="right" vertical="center"/>
    </xf>
    <xf numFmtId="164" fontId="17" fillId="2" borderId="3" xfId="0" applyNumberFormat="1" applyFont="1" applyFill="1" applyBorder="1" applyAlignment="1">
      <alignment horizontal="right" vertical="center"/>
    </xf>
    <xf numFmtId="164" fontId="17" fillId="2" borderId="65" xfId="0" applyNumberFormat="1" applyFont="1" applyFill="1" applyBorder="1" applyAlignment="1">
      <alignment horizontal="right" vertical="center"/>
    </xf>
    <xf numFmtId="164" fontId="17" fillId="0" borderId="64"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6" fillId="5" borderId="11" xfId="0" applyFont="1" applyFill="1" applyBorder="1" applyAlignment="1">
      <alignment horizontal="center" vertical="center" wrapText="1"/>
    </xf>
    <xf numFmtId="0" fontId="56" fillId="2" borderId="11" xfId="1" applyFont="1" applyFill="1" applyBorder="1" applyAlignment="1">
      <alignment horizontal="center" vertical="center" wrapText="1"/>
    </xf>
    <xf numFmtId="0" fontId="56" fillId="5" borderId="50" xfId="0" applyFont="1" applyFill="1" applyBorder="1" applyAlignment="1">
      <alignment horizontal="center" vertical="center" wrapText="1"/>
    </xf>
    <xf numFmtId="0" fontId="59" fillId="0" borderId="76" xfId="1" applyFont="1" applyBorder="1" applyAlignment="1">
      <alignment horizontal="left" vertical="top" wrapText="1"/>
    </xf>
    <xf numFmtId="0" fontId="14" fillId="0" borderId="0" xfId="1" applyFont="1" applyAlignment="1">
      <alignment horizontal="left" vertical="top" wrapText="1"/>
    </xf>
    <xf numFmtId="0" fontId="59" fillId="0" borderId="76" xfId="1" applyFont="1" applyFill="1" applyBorder="1" applyAlignment="1">
      <alignment horizontal="left" vertical="top" wrapText="1"/>
    </xf>
    <xf numFmtId="0" fontId="24" fillId="0" borderId="76" xfId="1" applyFont="1" applyFill="1" applyBorder="1" applyAlignment="1">
      <alignment horizontal="left" vertical="top" wrapText="1"/>
    </xf>
    <xf numFmtId="0" fontId="13" fillId="0" borderId="76" xfId="1" applyFont="1" applyFill="1" applyBorder="1" applyAlignment="1">
      <alignment horizontal="left" vertical="top" wrapText="1"/>
    </xf>
    <xf numFmtId="0" fontId="60" fillId="3" borderId="66" xfId="1" applyFont="1" applyFill="1" applyBorder="1" applyAlignment="1">
      <alignment horizontal="left" vertical="top" wrapText="1"/>
    </xf>
    <xf numFmtId="0" fontId="44" fillId="0" borderId="66" xfId="1" applyFont="1" applyFill="1" applyBorder="1" applyAlignment="1">
      <alignment horizontal="left" vertical="center" wrapText="1"/>
    </xf>
    <xf numFmtId="0" fontId="44" fillId="0" borderId="0" xfId="1" applyFont="1" applyAlignment="1">
      <alignment horizontal="left" vertical="center" wrapText="1"/>
    </xf>
    <xf numFmtId="0" fontId="55" fillId="0" borderId="0" xfId="1" applyFont="1" applyAlignment="1">
      <alignment horizontal="left" vertical="top" wrapText="1"/>
    </xf>
    <xf numFmtId="0" fontId="44" fillId="0" borderId="2" xfId="1" applyFont="1" applyFill="1" applyBorder="1" applyAlignment="1">
      <alignment horizontal="left" vertical="center" wrapText="1"/>
    </xf>
    <xf numFmtId="0" fontId="44" fillId="0" borderId="76" xfId="1" applyFont="1" applyBorder="1" applyAlignment="1">
      <alignment horizontal="left" vertical="center" wrapText="1"/>
    </xf>
    <xf numFmtId="0" fontId="47" fillId="3" borderId="17" xfId="1" applyFont="1" applyFill="1" applyBorder="1" applyAlignment="1">
      <alignment horizontal="left" vertical="center" wrapText="1"/>
    </xf>
    <xf numFmtId="0" fontId="14" fillId="0" borderId="0" xfId="1" applyFont="1" applyAlignment="1">
      <alignment horizontal="left" vertical="center" wrapText="1"/>
    </xf>
    <xf numFmtId="0" fontId="60" fillId="3" borderId="66" xfId="1" applyFont="1" applyFill="1" applyBorder="1" applyAlignment="1">
      <alignment horizontal="left" vertical="center" wrapText="1"/>
    </xf>
    <xf numFmtId="0" fontId="49" fillId="0" borderId="66" xfId="1" applyFont="1" applyBorder="1" applyAlignment="1">
      <alignment horizontal="left" vertical="center" wrapText="1"/>
    </xf>
    <xf numFmtId="0" fontId="44" fillId="0" borderId="0" xfId="1" applyFont="1" applyFill="1" applyAlignment="1">
      <alignment horizontal="left" vertical="center" wrapText="1"/>
    </xf>
    <xf numFmtId="0" fontId="63" fillId="3" borderId="66" xfId="1" applyFont="1" applyFill="1" applyBorder="1" applyAlignment="1">
      <alignment horizontal="left" vertical="center" wrapText="1"/>
    </xf>
    <xf numFmtId="0" fontId="64" fillId="0" borderId="0" xfId="1" applyFont="1" applyAlignment="1">
      <alignment horizontal="left" vertical="center" wrapText="1"/>
    </xf>
    <xf numFmtId="0" fontId="65" fillId="0" borderId="66" xfId="1" applyFont="1" applyBorder="1" applyAlignment="1">
      <alignment horizontal="left" vertical="center" wrapText="1"/>
    </xf>
    <xf numFmtId="0" fontId="44" fillId="0" borderId="66" xfId="1" applyFont="1" applyBorder="1" applyAlignment="1">
      <alignment horizontal="left" vertical="center" wrapText="1"/>
    </xf>
    <xf numFmtId="0" fontId="60" fillId="7" borderId="66" xfId="1" applyFont="1" applyFill="1" applyBorder="1" applyAlignment="1">
      <alignment horizontal="left" vertical="center" wrapText="1"/>
    </xf>
    <xf numFmtId="0" fontId="44" fillId="7" borderId="76" xfId="1" applyFont="1" applyFill="1" applyBorder="1" applyAlignment="1">
      <alignment horizontal="left" vertical="center" wrapText="1"/>
    </xf>
    <xf numFmtId="0" fontId="66" fillId="3" borderId="66" xfId="1" applyFont="1" applyFill="1" applyBorder="1" applyAlignment="1">
      <alignment horizontal="left" vertical="center" wrapText="1"/>
    </xf>
    <xf numFmtId="0" fontId="67" fillId="0" borderId="76" xfId="1" applyFont="1" applyBorder="1" applyAlignment="1">
      <alignment horizontal="left" vertical="center" wrapText="1"/>
    </xf>
    <xf numFmtId="0" fontId="62" fillId="0" borderId="0" xfId="1" applyFont="1" applyAlignment="1">
      <alignment horizontal="left" vertical="center" wrapText="1"/>
    </xf>
    <xf numFmtId="0" fontId="62" fillId="0" borderId="76" xfId="1" applyFont="1" applyBorder="1" applyAlignment="1">
      <alignment horizontal="left" vertical="center" wrapText="1"/>
    </xf>
    <xf numFmtId="0" fontId="14" fillId="0" borderId="76" xfId="1" applyFont="1" applyBorder="1" applyAlignment="1">
      <alignment horizontal="left" vertical="top" wrapText="1"/>
    </xf>
    <xf numFmtId="0" fontId="12" fillId="0" borderId="2" xfId="0" applyFont="1" applyBorder="1"/>
    <xf numFmtId="0" fontId="28" fillId="0" borderId="0" xfId="12" applyFont="1" applyBorder="1" applyAlignment="1">
      <alignment horizontal="left"/>
    </xf>
    <xf numFmtId="165" fontId="12" fillId="3" borderId="66"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9"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4" fillId="0" borderId="66"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2" fillId="6" borderId="0" xfId="0" applyFont="1" applyFill="1"/>
    <xf numFmtId="0" fontId="73" fillId="6" borderId="0" xfId="0" applyFont="1" applyFill="1"/>
    <xf numFmtId="0" fontId="17" fillId="6" borderId="0" xfId="0" applyFont="1" applyFill="1"/>
    <xf numFmtId="0" fontId="17" fillId="6" borderId="67" xfId="0" applyFont="1" applyFill="1" applyBorder="1" applyAlignment="1">
      <alignment horizontal="center" wrapText="1"/>
    </xf>
    <xf numFmtId="164" fontId="17" fillId="6" borderId="67"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4" fillId="6" borderId="66" xfId="0" applyFont="1" applyFill="1" applyBorder="1" applyAlignment="1">
      <alignment horizontal="left" vertical="center"/>
    </xf>
    <xf numFmtId="0" fontId="12" fillId="6" borderId="66"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1" fillId="6" borderId="67" xfId="0" applyFont="1" applyFill="1" applyBorder="1" applyAlignment="1">
      <alignment horizontal="center" vertical="center" wrapText="1"/>
    </xf>
    <xf numFmtId="0" fontId="51" fillId="6" borderId="68"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56"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29" fillId="6" borderId="58" xfId="0" applyFont="1" applyFill="1" applyBorder="1" applyAlignment="1">
      <alignment horizontal="center" vertical="top" wrapText="1"/>
    </xf>
    <xf numFmtId="0" fontId="12" fillId="6" borderId="1" xfId="0" applyFont="1" applyFill="1" applyBorder="1" applyAlignment="1"/>
    <xf numFmtId="0" fontId="20" fillId="6" borderId="6" xfId="0" applyFont="1" applyFill="1" applyBorder="1" applyAlignment="1">
      <alignment vertical="center" wrapText="1"/>
    </xf>
    <xf numFmtId="0" fontId="53" fillId="6" borderId="2" xfId="0" applyFont="1" applyFill="1" applyBorder="1" applyAlignment="1"/>
    <xf numFmtId="0" fontId="54" fillId="6" borderId="66" xfId="0" applyFont="1" applyFill="1" applyBorder="1" applyAlignment="1"/>
    <xf numFmtId="0" fontId="12" fillId="6" borderId="66" xfId="0" applyFont="1" applyFill="1" applyBorder="1"/>
    <xf numFmtId="0" fontId="12" fillId="6" borderId="0" xfId="0" applyFont="1" applyFill="1" applyBorder="1" applyAlignment="1"/>
    <xf numFmtId="0" fontId="53"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2"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80" xfId="0" applyNumberFormat="1" applyFont="1" applyFill="1" applyBorder="1" applyAlignment="1">
      <alignment horizontal="right" wrapText="1"/>
    </xf>
    <xf numFmtId="165" fontId="12" fillId="6" borderId="80" xfId="1" applyNumberFormat="1" applyFont="1" applyFill="1" applyBorder="1" applyAlignment="1" applyProtection="1">
      <alignment horizontal="right"/>
      <protection locked="0"/>
    </xf>
    <xf numFmtId="0" fontId="53" fillId="6" borderId="4" xfId="0" applyFont="1" applyFill="1" applyBorder="1" applyAlignment="1" applyProtection="1">
      <protection locked="0"/>
    </xf>
    <xf numFmtId="0" fontId="14" fillId="0" borderId="84" xfId="1" applyFont="1" applyBorder="1" applyAlignment="1">
      <alignment horizontal="left" vertical="top" wrapText="1"/>
    </xf>
    <xf numFmtId="0" fontId="14" fillId="0" borderId="0" xfId="1" applyFont="1" applyBorder="1" applyAlignment="1">
      <alignment horizontal="left" vertical="top" wrapText="1"/>
    </xf>
    <xf numFmtId="0" fontId="13" fillId="0" borderId="2" xfId="1" applyFont="1" applyFill="1" applyBorder="1" applyAlignment="1">
      <alignment horizontal="left" vertical="top" wrapText="1"/>
    </xf>
    <xf numFmtId="0" fontId="44" fillId="0" borderId="76" xfId="1" applyFont="1" applyFill="1" applyBorder="1" applyAlignment="1">
      <alignment horizontal="left" vertical="top" wrapText="1"/>
    </xf>
    <xf numFmtId="0" fontId="44" fillId="0" borderId="3" xfId="1" applyFont="1" applyFill="1" applyBorder="1" applyAlignment="1">
      <alignment horizontal="left" vertical="top" wrapText="1"/>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6" xfId="1" applyFont="1" applyFill="1" applyBorder="1" applyAlignment="1">
      <alignment horizontal="center" vertical="center" wrapText="1"/>
    </xf>
    <xf numFmtId="0" fontId="14" fillId="0" borderId="66" xfId="0" applyFont="1" applyFill="1" applyBorder="1"/>
    <xf numFmtId="0" fontId="12" fillId="6" borderId="66" xfId="0" applyFont="1" applyFill="1" applyBorder="1" applyAlignment="1"/>
    <xf numFmtId="0" fontId="11" fillId="6" borderId="0" xfId="1" applyFont="1" applyFill="1" applyBorder="1" applyAlignment="1">
      <alignment horizontal="left"/>
    </xf>
    <xf numFmtId="164" fontId="14" fillId="2" borderId="66" xfId="0" applyNumberFormat="1" applyFont="1" applyFill="1" applyBorder="1"/>
    <xf numFmtId="165" fontId="12" fillId="2" borderId="67"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63"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2" fillId="6" borderId="0" xfId="0" applyFont="1" applyFill="1"/>
    <xf numFmtId="0" fontId="34" fillId="6" borderId="66" xfId="0" applyFont="1" applyFill="1" applyBorder="1" applyAlignment="1" applyProtection="1">
      <alignment horizontal="center" vertical="center"/>
      <protection locked="0"/>
    </xf>
    <xf numFmtId="0" fontId="11" fillId="6" borderId="0" xfId="0" applyFont="1" applyFill="1"/>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2" fillId="6" borderId="0" xfId="0" applyFont="1" applyFill="1"/>
    <xf numFmtId="164" fontId="17" fillId="6" borderId="66" xfId="0" applyNumberFormat="1" applyFont="1" applyFill="1" applyBorder="1" applyAlignment="1" applyProtection="1">
      <alignment horizontal="right" vertical="center" wrapText="1"/>
      <protection locked="0"/>
    </xf>
    <xf numFmtId="0" fontId="29" fillId="0" borderId="53" xfId="0" applyFont="1" applyBorder="1" applyAlignment="1">
      <alignment vertical="center" wrapText="1"/>
    </xf>
    <xf numFmtId="164" fontId="12" fillId="0" borderId="75" xfId="1" applyNumberFormat="1" applyFill="1" applyBorder="1" applyProtection="1">
      <protection locked="0"/>
    </xf>
    <xf numFmtId="0" fontId="0" fillId="0" borderId="0" xfId="0" applyBorder="1"/>
    <xf numFmtId="0" fontId="30" fillId="6" borderId="11" xfId="0" applyFont="1" applyFill="1" applyBorder="1" applyAlignment="1">
      <alignment horizontal="center" vertical="center" wrapText="1"/>
    </xf>
    <xf numFmtId="2" fontId="12" fillId="0" borderId="0" xfId="1" applyNumberFormat="1" applyFont="1" applyAlignment="1">
      <alignment horizontal="left" vertical="center"/>
    </xf>
    <xf numFmtId="9" fontId="12" fillId="0" borderId="0" xfId="1" applyNumberFormat="1" applyFont="1" applyAlignment="1">
      <alignment horizontal="left" vertical="center"/>
    </xf>
    <xf numFmtId="166" fontId="12" fillId="0" borderId="0" xfId="1" applyNumberFormat="1"/>
    <xf numFmtId="166" fontId="0" fillId="0" borderId="0" xfId="0" applyNumberFormat="1"/>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2" fillId="6" borderId="0" xfId="0" applyFont="1" applyFill="1"/>
    <xf numFmtId="0" fontId="11" fillId="6" borderId="0" xfId="1" applyFont="1" applyFill="1" applyBorder="1" applyAlignment="1">
      <alignment horizontal="left"/>
    </xf>
    <xf numFmtId="164" fontId="17" fillId="0" borderId="55" xfId="0" applyNumberFormat="1" applyFont="1" applyBorder="1" applyAlignment="1">
      <alignment horizontal="right" vertical="center" wrapText="1"/>
    </xf>
    <xf numFmtId="0" fontId="76" fillId="0" borderId="49" xfId="0" applyFont="1" applyBorder="1" applyAlignment="1">
      <alignment vertical="top" wrapText="1"/>
    </xf>
    <xf numFmtId="0" fontId="76" fillId="0" borderId="53" xfId="0" applyFont="1" applyBorder="1" applyAlignment="1">
      <alignment vertical="top" wrapText="1"/>
    </xf>
    <xf numFmtId="0" fontId="12" fillId="0" borderId="1" xfId="0" applyFont="1" applyBorder="1" applyAlignment="1">
      <alignment vertical="top" wrapText="1"/>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38" fillId="0" borderId="15" xfId="7"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82" xfId="0" applyFont="1" applyFill="1" applyBorder="1" applyAlignment="1">
      <alignment horizontal="center" wrapText="1"/>
    </xf>
    <xf numFmtId="0" fontId="17" fillId="6" borderId="83" xfId="0" applyFont="1" applyFill="1" applyBorder="1" applyAlignment="1">
      <alignment horizontal="center" wrapText="1"/>
    </xf>
    <xf numFmtId="0" fontId="74"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4" fillId="6" borderId="81"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34" fillId="6" borderId="75"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1" fillId="6" borderId="69" xfId="0" applyFont="1" applyFill="1" applyBorder="1" applyAlignment="1">
      <alignment horizontal="center" vertical="center" wrapText="1"/>
    </xf>
    <xf numFmtId="0" fontId="51" fillId="6" borderId="70" xfId="0" applyFont="1" applyFill="1" applyBorder="1" applyAlignment="1">
      <alignment horizontal="center" vertical="center" wrapText="1"/>
    </xf>
    <xf numFmtId="0" fontId="51" fillId="6" borderId="71" xfId="0" applyFont="1" applyFill="1" applyBorder="1" applyAlignment="1">
      <alignment horizontal="center" vertical="center" wrapText="1"/>
    </xf>
    <xf numFmtId="0" fontId="51" fillId="6" borderId="72" xfId="0" applyFont="1" applyFill="1" applyBorder="1" applyAlignment="1">
      <alignment horizontal="center" vertical="center" wrapText="1"/>
    </xf>
    <xf numFmtId="0" fontId="51" fillId="6" borderId="73" xfId="0" applyFont="1" applyFill="1" applyBorder="1" applyAlignment="1">
      <alignment horizontal="center" vertical="center" wrapText="1"/>
    </xf>
    <xf numFmtId="0" fontId="51" fillId="6" borderId="74"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55" fillId="6" borderId="30" xfId="1" applyFont="1" applyFill="1" applyBorder="1" applyAlignment="1" applyProtection="1">
      <alignment horizontal="center"/>
      <protection locked="0"/>
    </xf>
    <xf numFmtId="0" fontId="55" fillId="6" borderId="32" xfId="1" applyFont="1" applyFill="1" applyBorder="1" applyAlignment="1" applyProtection="1">
      <alignment horizontal="center"/>
      <protection locked="0"/>
    </xf>
    <xf numFmtId="0" fontId="13" fillId="0" borderId="66"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2" fillId="6" borderId="0" xfId="0" applyFont="1" applyFill="1"/>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3" fillId="6" borderId="75"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30" fillId="6" borderId="0" xfId="0" applyFont="1" applyFill="1" applyBorder="1" applyAlignment="1">
      <alignment horizontal="center" vertical="center" wrapText="1"/>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2" fillId="0" borderId="78" xfId="1" applyBorder="1" applyAlignment="1">
      <alignment horizontal="center"/>
    </xf>
    <xf numFmtId="0" fontId="46" fillId="0" borderId="0" xfId="0" applyFont="1" applyBorder="1" applyAlignment="1">
      <alignment horizontal="left" vertical="center" wrapText="1"/>
    </xf>
    <xf numFmtId="0" fontId="16" fillId="0" borderId="23"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77"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6" fillId="0" borderId="66"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4" fillId="0" borderId="78" xfId="1" applyFont="1" applyBorder="1" applyAlignment="1">
      <alignment horizontal="center"/>
    </xf>
    <xf numFmtId="0" fontId="22" fillId="0" borderId="0" xfId="1" applyFont="1" applyAlignment="1">
      <alignment horizontal="left" vertical="center"/>
    </xf>
    <xf numFmtId="0" fontId="11" fillId="0" borderId="78" xfId="1" applyFont="1" applyBorder="1" applyAlignment="1">
      <alignment horizontal="center" vertical="center"/>
    </xf>
    <xf numFmtId="0" fontId="11" fillId="0" borderId="9" xfId="1" applyFont="1" applyBorder="1" applyAlignment="1">
      <alignment horizontal="center" vertical="center"/>
    </xf>
    <xf numFmtId="0" fontId="17" fillId="0" borderId="78"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9" xfId="12" applyFont="1" applyFill="1" applyBorder="1" applyAlignment="1">
      <alignment horizontal="center" vertical="center" wrapText="1"/>
    </xf>
    <xf numFmtId="0" fontId="57" fillId="0" borderId="75" xfId="1" applyFont="1" applyBorder="1" applyAlignment="1">
      <alignment horizontal="left" vertical="center" wrapText="1"/>
    </xf>
    <xf numFmtId="0" fontId="57"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1" fillId="2" borderId="34"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33" xfId="0" applyFont="1" applyFill="1" applyBorder="1" applyAlignment="1">
      <alignment horizontal="center" vertical="center"/>
    </xf>
    <xf numFmtId="0" fontId="33" fillId="2" borderId="33" xfId="0" applyFont="1" applyFill="1" applyBorder="1" applyAlignment="1">
      <alignment horizontal="center" vertical="center"/>
    </xf>
    <xf numFmtId="0" fontId="11" fillId="2" borderId="1"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cellXfs>
  <cellStyles count="138">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brionef@longwood.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 Id="rId22"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topLeftCell="A16" zoomScale="80" zoomScaleNormal="80" workbookViewId="0">
      <selection activeCell="A24" sqref="A24"/>
    </sheetView>
  </sheetViews>
  <sheetFormatPr defaultColWidth="164.453125" defaultRowHeight="15.5" x14ac:dyDescent="0.25"/>
  <cols>
    <col min="1" max="1" width="170.54296875" style="92" customWidth="1"/>
    <col min="2" max="16384" width="164.453125" style="92"/>
  </cols>
  <sheetData>
    <row r="1" spans="1:1" ht="21" customHeight="1" x14ac:dyDescent="0.25">
      <c r="A1" s="91" t="s">
        <v>199</v>
      </c>
    </row>
    <row r="2" spans="1:1" ht="21" customHeight="1" x14ac:dyDescent="0.25">
      <c r="A2" s="93" t="s">
        <v>198</v>
      </c>
    </row>
    <row r="3" spans="1:1" ht="21" customHeight="1" x14ac:dyDescent="0.25">
      <c r="A3" s="94" t="s">
        <v>164</v>
      </c>
    </row>
    <row r="4" spans="1:1" ht="16.399999999999999" customHeight="1" x14ac:dyDescent="0.25">
      <c r="A4" s="95"/>
    </row>
    <row r="5" spans="1:1" ht="21" customHeight="1" x14ac:dyDescent="0.25">
      <c r="A5" s="96" t="s">
        <v>165</v>
      </c>
    </row>
    <row r="6" spans="1:1" s="98" customFormat="1" ht="92.15" customHeight="1" x14ac:dyDescent="0.25">
      <c r="A6" s="97" t="s">
        <v>166</v>
      </c>
    </row>
    <row r="7" spans="1:1" s="99" customFormat="1" ht="21" customHeight="1" x14ac:dyDescent="0.25">
      <c r="A7" s="96" t="s">
        <v>200</v>
      </c>
    </row>
    <row r="8" spans="1:1" s="98" customFormat="1" ht="75" customHeight="1" x14ac:dyDescent="0.25">
      <c r="A8" s="100" t="s">
        <v>240</v>
      </c>
    </row>
    <row r="9" spans="1:1" s="98" customFormat="1" ht="61.4" customHeight="1" thickBot="1" x14ac:dyDescent="0.3">
      <c r="A9" s="101" t="s">
        <v>247</v>
      </c>
    </row>
    <row r="10" spans="1:1" s="98" customFormat="1" ht="33" customHeight="1" thickBot="1" x14ac:dyDescent="0.3">
      <c r="A10" s="102" t="s">
        <v>228</v>
      </c>
    </row>
    <row r="11" spans="1:1" s="98" customFormat="1" ht="23.5" customHeight="1" x14ac:dyDescent="0.25">
      <c r="A11" s="104" t="s">
        <v>248</v>
      </c>
    </row>
    <row r="12" spans="1:1" s="98" customFormat="1" ht="57" customHeight="1" x14ac:dyDescent="0.25">
      <c r="A12" s="105" t="s">
        <v>231</v>
      </c>
    </row>
    <row r="13" spans="1:1" s="103" customFormat="1" ht="21" customHeight="1" x14ac:dyDescent="0.25">
      <c r="A13" s="104" t="s">
        <v>229</v>
      </c>
    </row>
    <row r="14" spans="1:1" s="98" customFormat="1" ht="60.65" customHeight="1" x14ac:dyDescent="0.25">
      <c r="A14" s="105" t="s">
        <v>241</v>
      </c>
    </row>
    <row r="15" spans="1:1" s="103" customFormat="1" ht="21" customHeight="1" x14ac:dyDescent="0.25">
      <c r="A15" s="104" t="s">
        <v>230</v>
      </c>
    </row>
    <row r="16" spans="1:1" s="106" customFormat="1" ht="163.5" customHeight="1" x14ac:dyDescent="0.25">
      <c r="A16" s="100" t="s">
        <v>249</v>
      </c>
    </row>
    <row r="17" spans="1:1" s="106" customFormat="1" ht="37.5" customHeight="1" x14ac:dyDescent="0.25">
      <c r="A17" s="135" t="s">
        <v>237</v>
      </c>
    </row>
    <row r="18" spans="1:1" s="106" customFormat="1" ht="39.65" customHeight="1" x14ac:dyDescent="0.25">
      <c r="A18" s="200" t="s">
        <v>233</v>
      </c>
    </row>
    <row r="19" spans="1:1" s="106" customFormat="1" ht="21" customHeight="1" x14ac:dyDescent="0.25">
      <c r="A19" s="201" t="s">
        <v>201</v>
      </c>
    </row>
    <row r="20" spans="1:1" s="106" customFormat="1" ht="21" customHeight="1" x14ac:dyDescent="0.25">
      <c r="A20" s="201" t="s">
        <v>202</v>
      </c>
    </row>
    <row r="21" spans="1:1" s="106" customFormat="1" ht="21" customHeight="1" x14ac:dyDescent="0.25">
      <c r="A21" s="202" t="s">
        <v>203</v>
      </c>
    </row>
    <row r="22" spans="1:1" s="106" customFormat="1" ht="127.4" customHeight="1" x14ac:dyDescent="0.25">
      <c r="A22" s="97" t="s">
        <v>238</v>
      </c>
    </row>
    <row r="23" spans="1:1" s="106" customFormat="1" ht="21" customHeight="1" x14ac:dyDescent="0.25">
      <c r="A23" s="104" t="s">
        <v>250</v>
      </c>
    </row>
    <row r="24" spans="1:1" s="106" customFormat="1" ht="70.5" customHeight="1" x14ac:dyDescent="0.25">
      <c r="A24" s="105" t="s">
        <v>251</v>
      </c>
    </row>
    <row r="25" spans="1:1" s="108" customFormat="1" ht="21" customHeight="1" x14ac:dyDescent="0.25">
      <c r="A25" s="107" t="s">
        <v>232</v>
      </c>
    </row>
    <row r="26" spans="1:1" s="98" customFormat="1" ht="97.5" customHeight="1" x14ac:dyDescent="0.25">
      <c r="A26" s="109" t="s">
        <v>242</v>
      </c>
    </row>
    <row r="27" spans="1:1" s="103" customFormat="1" ht="21" customHeight="1" x14ac:dyDescent="0.25">
      <c r="A27" s="104" t="s">
        <v>167</v>
      </c>
    </row>
    <row r="28" spans="1:1" s="98" customFormat="1" ht="38.5" customHeight="1" x14ac:dyDescent="0.25">
      <c r="A28" s="105" t="s">
        <v>168</v>
      </c>
    </row>
    <row r="29" spans="1:1" s="98" customFormat="1" ht="69" customHeight="1" x14ac:dyDescent="0.25">
      <c r="A29" s="105" t="s">
        <v>169</v>
      </c>
    </row>
    <row r="30" spans="1:1" s="103" customFormat="1" ht="51.65" customHeight="1" x14ac:dyDescent="0.25">
      <c r="A30" s="110" t="s">
        <v>239</v>
      </c>
    </row>
    <row r="31" spans="1:1" s="103" customFormat="1" ht="21" customHeight="1" x14ac:dyDescent="0.25">
      <c r="A31" s="111" t="s">
        <v>170</v>
      </c>
    </row>
    <row r="32" spans="1:1" ht="21" customHeight="1" x14ac:dyDescent="0.25">
      <c r="A32" s="112" t="s">
        <v>253</v>
      </c>
    </row>
    <row r="33" spans="1:1" ht="21" customHeight="1" x14ac:dyDescent="0.25">
      <c r="A33" s="112" t="s">
        <v>171</v>
      </c>
    </row>
    <row r="34" spans="1:1" s="98" customFormat="1" ht="21" customHeight="1" x14ac:dyDescent="0.25">
      <c r="A34" s="112" t="s">
        <v>172</v>
      </c>
    </row>
    <row r="35" spans="1:1" s="98" customFormat="1" ht="21" customHeight="1" x14ac:dyDescent="0.25">
      <c r="A35" s="112" t="s">
        <v>173</v>
      </c>
    </row>
    <row r="36" spans="1:1" s="98" customFormat="1" ht="21" customHeight="1" x14ac:dyDescent="0.25">
      <c r="A36" s="112" t="s">
        <v>174</v>
      </c>
    </row>
    <row r="37" spans="1:1" s="98" customFormat="1" ht="21" customHeight="1" x14ac:dyDescent="0.25">
      <c r="A37" s="104" t="s">
        <v>254</v>
      </c>
    </row>
    <row r="38" spans="1:1" s="103" customFormat="1" ht="21" customHeight="1" x14ac:dyDescent="0.25">
      <c r="A38" s="113" t="s">
        <v>175</v>
      </c>
    </row>
    <row r="39" spans="1:1" s="115" customFormat="1" ht="145.4" customHeight="1" x14ac:dyDescent="0.25">
      <c r="A39" s="114" t="s">
        <v>176</v>
      </c>
    </row>
    <row r="40" spans="1:1" s="115" customFormat="1" ht="57.65" customHeight="1" x14ac:dyDescent="0.25">
      <c r="A40" s="114" t="s">
        <v>177</v>
      </c>
    </row>
    <row r="41" spans="1:1" s="115" customFormat="1" ht="64.400000000000006" customHeight="1" x14ac:dyDescent="0.25">
      <c r="A41" s="114" t="s">
        <v>178</v>
      </c>
    </row>
    <row r="42" spans="1:1" s="115" customFormat="1" ht="93" customHeight="1" x14ac:dyDescent="0.25">
      <c r="A42" s="114" t="s">
        <v>179</v>
      </c>
    </row>
    <row r="43" spans="1:1" s="115" customFormat="1" ht="28.4" customHeight="1" x14ac:dyDescent="0.25">
      <c r="A43" s="114" t="s">
        <v>180</v>
      </c>
    </row>
    <row r="44" spans="1:1" s="115" customFormat="1" ht="26.15" customHeight="1" x14ac:dyDescent="0.25">
      <c r="A44" s="116" t="s">
        <v>181</v>
      </c>
    </row>
    <row r="45" spans="1:1" s="115" customFormat="1" ht="36" customHeight="1" x14ac:dyDescent="0.25">
      <c r="A45" s="114" t="s">
        <v>182</v>
      </c>
    </row>
    <row r="46" spans="1:1" s="115" customFormat="1" ht="20.25" customHeight="1" x14ac:dyDescent="0.25">
      <c r="A46" s="114" t="s">
        <v>183</v>
      </c>
    </row>
    <row r="47" spans="1:1" s="115" customFormat="1" ht="21.65" customHeight="1" x14ac:dyDescent="0.25">
      <c r="A47" s="114" t="s">
        <v>184</v>
      </c>
    </row>
    <row r="48" spans="1:1" s="115" customFormat="1" ht="24.65" customHeight="1" x14ac:dyDescent="0.25">
      <c r="A48" s="116" t="s">
        <v>185</v>
      </c>
    </row>
    <row r="49" spans="1:1" s="115" customFormat="1" ht="17.5" customHeight="1" x14ac:dyDescent="0.25">
      <c r="A49" s="116" t="s">
        <v>186</v>
      </c>
    </row>
    <row r="50" spans="1:1" s="115" customFormat="1" ht="35.15" customHeight="1" x14ac:dyDescent="0.25">
      <c r="A50" s="116" t="s">
        <v>187</v>
      </c>
    </row>
    <row r="51" spans="1:1" s="115" customFormat="1" ht="57" customHeight="1" x14ac:dyDescent="0.25">
      <c r="A51" s="116" t="s">
        <v>188</v>
      </c>
    </row>
    <row r="52" spans="1:1" s="115" customFormat="1" ht="62.15" customHeight="1" x14ac:dyDescent="0.25">
      <c r="A52" s="116" t="s">
        <v>189</v>
      </c>
    </row>
    <row r="53" spans="1:1" s="115" customFormat="1" ht="122.15" customHeight="1" x14ac:dyDescent="0.25">
      <c r="A53" s="116" t="s">
        <v>190</v>
      </c>
    </row>
    <row r="54" spans="1:1" s="115" customFormat="1" ht="69.650000000000006" customHeight="1" x14ac:dyDescent="0.25">
      <c r="A54" s="116" t="s">
        <v>191</v>
      </c>
    </row>
    <row r="55" spans="1:1" s="115" customFormat="1" ht="24" customHeight="1" x14ac:dyDescent="0.25">
      <c r="A55" s="116" t="s">
        <v>192</v>
      </c>
    </row>
    <row r="56" spans="1:1" s="115" customFormat="1" ht="23.15" customHeight="1" x14ac:dyDescent="0.25">
      <c r="A56" s="116" t="s">
        <v>193</v>
      </c>
    </row>
    <row r="57" spans="1:1" s="98" customFormat="1" ht="87" x14ac:dyDescent="0.25">
      <c r="A57" s="116" t="s">
        <v>194</v>
      </c>
    </row>
    <row r="58" spans="1:1" s="98" customFormat="1" ht="51.65" customHeight="1" x14ac:dyDescent="0.25">
      <c r="A58" s="116" t="s">
        <v>195</v>
      </c>
    </row>
    <row r="59" spans="1:1" s="98" customFormat="1" ht="89.5" customHeight="1" x14ac:dyDescent="0.25">
      <c r="A59" s="116" t="s">
        <v>196</v>
      </c>
    </row>
    <row r="60" spans="1:1" s="98" customFormat="1" ht="32.5" customHeight="1" x14ac:dyDescent="0.25">
      <c r="A60" s="116" t="s">
        <v>197</v>
      </c>
    </row>
    <row r="61" spans="1:1" hidden="1" x14ac:dyDescent="0.25">
      <c r="A61" s="117"/>
    </row>
    <row r="62" spans="1:1" hidden="1" x14ac:dyDescent="0.25">
      <c r="A62" s="117"/>
    </row>
    <row r="63" spans="1:1" hidden="1" x14ac:dyDescent="0.25">
      <c r="A63" s="117"/>
    </row>
    <row r="64" spans="1:1" s="198" customFormat="1" x14ac:dyDescent="0.25"/>
    <row r="65" s="199" customFormat="1" x14ac:dyDescent="0.25"/>
    <row r="66" s="199" customFormat="1" x14ac:dyDescent="0.25"/>
    <row r="67" s="199" customFormat="1" x14ac:dyDescent="0.25"/>
    <row r="68" s="199" customFormat="1" x14ac:dyDescent="0.25"/>
    <row r="69" s="199" customFormat="1" x14ac:dyDescent="0.25"/>
    <row r="70" s="199" customFormat="1" x14ac:dyDescent="0.25"/>
    <row r="71" s="199" customFormat="1" x14ac:dyDescent="0.25"/>
    <row r="72" s="199" customFormat="1" x14ac:dyDescent="0.25"/>
    <row r="73" s="199" customFormat="1" x14ac:dyDescent="0.25"/>
    <row r="74" s="199" customFormat="1" x14ac:dyDescent="0.25"/>
    <row r="75" s="199" customFormat="1" x14ac:dyDescent="0.25"/>
    <row r="76" s="199" customFormat="1" x14ac:dyDescent="0.25"/>
    <row r="77" s="199" customFormat="1" x14ac:dyDescent="0.25"/>
    <row r="78" s="199" customFormat="1" x14ac:dyDescent="0.25"/>
    <row r="79" s="199" customFormat="1" x14ac:dyDescent="0.25"/>
    <row r="80" s="199" customFormat="1" x14ac:dyDescent="0.25"/>
    <row r="81" s="199" customFormat="1" x14ac:dyDescent="0.25"/>
    <row r="82" s="199" customFormat="1" x14ac:dyDescent="0.25"/>
    <row r="83" s="199" customFormat="1" x14ac:dyDescent="0.25"/>
    <row r="84" s="199" customFormat="1" x14ac:dyDescent="0.25"/>
    <row r="85" s="199" customFormat="1" x14ac:dyDescent="0.25"/>
    <row r="86" s="199" customFormat="1" x14ac:dyDescent="0.25"/>
    <row r="87" s="199" customFormat="1" x14ac:dyDescent="0.25"/>
    <row r="88" s="199" customFormat="1" x14ac:dyDescent="0.25"/>
    <row r="89" s="199" customFormat="1" x14ac:dyDescent="0.25"/>
    <row r="90" s="199" customFormat="1" x14ac:dyDescent="0.25"/>
    <row r="91" s="199" customFormat="1" x14ac:dyDescent="0.25"/>
    <row r="92" s="199" customFormat="1" x14ac:dyDescent="0.25"/>
    <row r="93" s="199" customFormat="1" x14ac:dyDescent="0.25"/>
    <row r="94" s="199" customFormat="1" x14ac:dyDescent="0.25"/>
    <row r="95" s="199" customFormat="1" x14ac:dyDescent="0.25"/>
    <row r="96" s="199" customFormat="1" x14ac:dyDescent="0.25"/>
    <row r="97" s="199" customFormat="1" x14ac:dyDescent="0.25"/>
    <row r="98" s="199" customFormat="1" x14ac:dyDescent="0.25"/>
    <row r="99" s="199" customFormat="1" x14ac:dyDescent="0.25"/>
    <row r="100" s="199" customFormat="1" x14ac:dyDescent="0.25"/>
    <row r="101" s="199" customFormat="1" x14ac:dyDescent="0.25"/>
    <row r="102" s="199" customFormat="1" x14ac:dyDescent="0.25"/>
    <row r="103" s="199" customFormat="1" x14ac:dyDescent="0.25"/>
    <row r="104" s="199" customFormat="1" x14ac:dyDescent="0.25"/>
    <row r="105" s="199" customFormat="1" x14ac:dyDescent="0.25"/>
    <row r="106" s="199" customFormat="1" x14ac:dyDescent="0.25"/>
    <row r="107" s="199" customFormat="1" x14ac:dyDescent="0.25"/>
    <row r="108" s="199" customFormat="1" x14ac:dyDescent="0.25"/>
    <row r="109" s="199" customFormat="1" x14ac:dyDescent="0.25"/>
    <row r="110" s="199" customFormat="1" x14ac:dyDescent="0.25"/>
    <row r="111" s="199" customFormat="1" x14ac:dyDescent="0.25"/>
    <row r="112" s="199" customFormat="1" x14ac:dyDescent="0.25"/>
    <row r="113" s="199" customFormat="1" x14ac:dyDescent="0.25"/>
    <row r="114" s="199" customFormat="1" x14ac:dyDescent="0.25"/>
    <row r="115" s="199" customFormat="1" x14ac:dyDescent="0.25"/>
    <row r="116" s="199" customFormat="1" x14ac:dyDescent="0.25"/>
    <row r="117" s="199" customFormat="1" x14ac:dyDescent="0.25"/>
    <row r="118" s="199" customFormat="1" x14ac:dyDescent="0.25"/>
    <row r="119" s="199" customFormat="1" x14ac:dyDescent="0.25"/>
    <row r="120" s="199" customFormat="1" x14ac:dyDescent="0.25"/>
    <row r="121" s="199" customFormat="1" x14ac:dyDescent="0.25"/>
    <row r="122" s="199" customFormat="1" x14ac:dyDescent="0.25"/>
    <row r="123" s="199" customFormat="1" x14ac:dyDescent="0.25"/>
    <row r="124" s="199" customFormat="1" x14ac:dyDescent="0.25"/>
    <row r="125" s="199" customFormat="1" x14ac:dyDescent="0.25"/>
    <row r="126" s="199" customFormat="1" x14ac:dyDescent="0.25"/>
    <row r="127" s="199" customFormat="1" x14ac:dyDescent="0.25"/>
    <row r="128" s="199" customFormat="1" x14ac:dyDescent="0.25"/>
    <row r="129" s="199" customFormat="1" x14ac:dyDescent="0.25"/>
    <row r="130" s="199" customFormat="1" x14ac:dyDescent="0.25"/>
    <row r="131" s="199" customFormat="1" x14ac:dyDescent="0.25"/>
    <row r="132" s="199" customFormat="1" x14ac:dyDescent="0.25"/>
    <row r="133" s="199" customFormat="1" x14ac:dyDescent="0.25"/>
    <row r="134" s="199" customFormat="1" x14ac:dyDescent="0.25"/>
    <row r="135" s="199" customFormat="1" x14ac:dyDescent="0.25"/>
    <row r="136" s="199" customFormat="1" x14ac:dyDescent="0.25"/>
    <row r="137" s="199" customFormat="1" x14ac:dyDescent="0.25"/>
    <row r="138" s="199" customFormat="1" x14ac:dyDescent="0.25"/>
    <row r="139" s="199" customFormat="1" x14ac:dyDescent="0.25"/>
    <row r="140" s="199" customFormat="1" x14ac:dyDescent="0.25"/>
    <row r="141" s="199" customFormat="1" x14ac:dyDescent="0.25"/>
    <row r="142" s="199" customFormat="1" x14ac:dyDescent="0.25"/>
    <row r="143" s="199" customFormat="1" x14ac:dyDescent="0.25"/>
    <row r="144" s="199" customFormat="1" x14ac:dyDescent="0.25"/>
    <row r="145" s="199" customFormat="1" x14ac:dyDescent="0.25"/>
    <row r="146" s="199" customFormat="1" x14ac:dyDescent="0.25"/>
    <row r="147" s="199" customFormat="1" x14ac:dyDescent="0.25"/>
    <row r="148" s="199" customFormat="1" x14ac:dyDescent="0.25"/>
    <row r="149" s="199" customFormat="1" x14ac:dyDescent="0.25"/>
    <row r="150" s="199" customFormat="1" x14ac:dyDescent="0.25"/>
    <row r="151" s="199" customFormat="1" x14ac:dyDescent="0.25"/>
    <row r="152" s="199" customFormat="1" x14ac:dyDescent="0.25"/>
    <row r="153" s="199" customFormat="1" x14ac:dyDescent="0.25"/>
    <row r="154" s="199" customFormat="1" x14ac:dyDescent="0.25"/>
    <row r="155" s="199" customFormat="1" x14ac:dyDescent="0.25"/>
    <row r="156" s="199" customFormat="1" x14ac:dyDescent="0.25"/>
    <row r="157" s="199" customFormat="1" x14ac:dyDescent="0.25"/>
    <row r="158" s="199" customFormat="1" x14ac:dyDescent="0.25"/>
    <row r="159" s="199" customFormat="1" x14ac:dyDescent="0.25"/>
    <row r="160" s="199" customFormat="1" x14ac:dyDescent="0.25"/>
    <row r="161" s="199" customFormat="1" x14ac:dyDescent="0.25"/>
    <row r="162" s="199" customFormat="1" x14ac:dyDescent="0.25"/>
    <row r="163" s="199" customFormat="1" x14ac:dyDescent="0.25"/>
    <row r="164" s="199" customFormat="1" x14ac:dyDescent="0.25"/>
    <row r="165" s="199" customFormat="1" x14ac:dyDescent="0.25"/>
    <row r="166" s="199" customFormat="1" x14ac:dyDescent="0.25"/>
    <row r="167" s="199" customFormat="1" x14ac:dyDescent="0.25"/>
    <row r="168" s="199" customFormat="1" x14ac:dyDescent="0.25"/>
    <row r="169" s="199" customFormat="1" x14ac:dyDescent="0.25"/>
    <row r="170" s="199" customFormat="1" x14ac:dyDescent="0.25"/>
    <row r="171" s="199" customFormat="1" x14ac:dyDescent="0.25"/>
    <row r="172" s="199" customFormat="1" x14ac:dyDescent="0.25"/>
    <row r="173" s="199" customFormat="1" x14ac:dyDescent="0.25"/>
    <row r="174" s="199" customFormat="1" x14ac:dyDescent="0.25"/>
    <row r="175" s="199" customFormat="1" x14ac:dyDescent="0.25"/>
    <row r="176" s="199" customFormat="1" x14ac:dyDescent="0.25"/>
    <row r="177" s="199" customFormat="1" x14ac:dyDescent="0.25"/>
    <row r="178" s="199" customFormat="1" x14ac:dyDescent="0.25"/>
    <row r="179" s="199" customFormat="1" x14ac:dyDescent="0.25"/>
    <row r="180" s="199" customFormat="1" x14ac:dyDescent="0.25"/>
    <row r="181" s="199" customFormat="1" x14ac:dyDescent="0.25"/>
    <row r="182" s="199" customFormat="1" x14ac:dyDescent="0.25"/>
    <row r="183" s="199" customFormat="1" x14ac:dyDescent="0.25"/>
    <row r="184" s="199" customFormat="1" x14ac:dyDescent="0.25"/>
    <row r="185" s="199" customFormat="1" x14ac:dyDescent="0.25"/>
    <row r="186" s="199" customFormat="1" x14ac:dyDescent="0.25"/>
    <row r="187" s="199" customFormat="1" x14ac:dyDescent="0.25"/>
    <row r="188" s="199" customFormat="1" x14ac:dyDescent="0.25"/>
    <row r="189" s="199" customFormat="1" x14ac:dyDescent="0.25"/>
    <row r="190" s="199" customFormat="1" x14ac:dyDescent="0.25"/>
    <row r="191" s="199"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sqref="A1:Q1"/>
    </sheetView>
  </sheetViews>
  <sheetFormatPr defaultColWidth="8.54296875" defaultRowHeight="12.5" x14ac:dyDescent="0.25"/>
  <cols>
    <col min="5" max="5" width="17.453125" customWidth="1"/>
  </cols>
  <sheetData>
    <row r="1" spans="1:19" s="2" customFormat="1" ht="30" customHeight="1" x14ac:dyDescent="0.25">
      <c r="A1" s="250" t="s">
        <v>131</v>
      </c>
      <c r="B1" s="250"/>
      <c r="C1" s="250"/>
      <c r="D1" s="250"/>
      <c r="E1" s="250"/>
      <c r="F1" s="250"/>
      <c r="G1" s="250"/>
      <c r="H1" s="250"/>
      <c r="I1" s="250"/>
      <c r="J1" s="250"/>
      <c r="K1" s="250"/>
      <c r="L1" s="250"/>
      <c r="M1" s="250"/>
      <c r="N1" s="250"/>
      <c r="O1" s="250"/>
      <c r="P1" s="250"/>
      <c r="Q1" s="250"/>
    </row>
    <row r="2" spans="1:19" s="2" customFormat="1" ht="30" customHeight="1" thickBot="1" x14ac:dyDescent="0.3">
      <c r="A2" s="252" t="s">
        <v>132</v>
      </c>
      <c r="B2" s="252"/>
      <c r="C2" s="252"/>
      <c r="D2" s="252"/>
      <c r="E2" s="252"/>
      <c r="F2" s="6"/>
      <c r="G2" s="6"/>
      <c r="H2" s="6"/>
      <c r="I2" s="6"/>
      <c r="J2" s="6"/>
      <c r="K2" s="6"/>
      <c r="L2" s="6"/>
      <c r="M2" s="6"/>
      <c r="N2" s="6"/>
      <c r="O2" s="6"/>
      <c r="P2" s="6"/>
    </row>
    <row r="3" spans="1:19" s="2" customFormat="1" ht="30" customHeight="1" thickBot="1" x14ac:dyDescent="0.3">
      <c r="A3" s="251" t="s">
        <v>10</v>
      </c>
      <c r="B3" s="251"/>
      <c r="C3" s="262" t="s">
        <v>270</v>
      </c>
      <c r="D3" s="263"/>
      <c r="E3" s="263"/>
      <c r="F3" s="263"/>
      <c r="G3" s="263"/>
      <c r="H3" s="263"/>
      <c r="I3" s="263"/>
      <c r="J3" s="263"/>
      <c r="K3" s="263"/>
      <c r="L3" s="263"/>
      <c r="M3" s="263"/>
      <c r="N3" s="263"/>
      <c r="O3" s="263"/>
      <c r="P3" s="263"/>
      <c r="Q3" s="263"/>
      <c r="R3" s="263"/>
      <c r="S3" s="264"/>
    </row>
    <row r="4" spans="1:19" s="5" customFormat="1" ht="30" customHeight="1" thickBot="1" x14ac:dyDescent="0.3">
      <c r="A4" s="251" t="s">
        <v>5</v>
      </c>
      <c r="B4" s="251"/>
      <c r="C4" s="251"/>
      <c r="D4" s="257"/>
      <c r="E4" s="258" t="s">
        <v>271</v>
      </c>
      <c r="F4" s="259"/>
      <c r="G4" s="259"/>
      <c r="H4" s="260"/>
      <c r="I4" s="4"/>
      <c r="J4" s="4"/>
      <c r="K4" s="4"/>
      <c r="L4" s="4"/>
      <c r="M4" s="4"/>
      <c r="N4" s="4"/>
      <c r="O4" s="4"/>
      <c r="P4" s="4"/>
      <c r="Q4" s="4"/>
      <c r="R4" s="4"/>
      <c r="S4" s="4"/>
    </row>
    <row r="5" spans="1:19" s="5" customFormat="1" ht="30" customHeight="1" thickBot="1" x14ac:dyDescent="0.3">
      <c r="A5" s="251" t="s">
        <v>6</v>
      </c>
      <c r="B5" s="251"/>
      <c r="C5" s="251"/>
      <c r="D5" s="251"/>
      <c r="E5" s="251"/>
      <c r="F5" s="251"/>
      <c r="G5" s="251"/>
      <c r="H5" s="4"/>
      <c r="I5" s="4"/>
      <c r="J5" s="4"/>
      <c r="K5" s="4"/>
      <c r="L5" s="4"/>
      <c r="M5" s="4"/>
      <c r="N5" s="4"/>
      <c r="O5" s="4"/>
      <c r="P5" s="4"/>
      <c r="Q5" s="4"/>
      <c r="R5" s="4"/>
      <c r="S5" s="4"/>
    </row>
    <row r="6" spans="1:19" s="5" customFormat="1" ht="30" customHeight="1" thickBot="1" x14ac:dyDescent="0.3">
      <c r="A6" s="253" t="s">
        <v>7</v>
      </c>
      <c r="B6" s="253"/>
      <c r="C6" s="253"/>
      <c r="D6" s="253"/>
      <c r="E6" s="253"/>
      <c r="F6" s="253"/>
      <c r="G6" s="253"/>
      <c r="H6" s="254" t="s">
        <v>272</v>
      </c>
      <c r="I6" s="255"/>
      <c r="J6" s="255"/>
      <c r="K6" s="255"/>
      <c r="L6" s="255"/>
      <c r="M6" s="255"/>
      <c r="N6" s="255"/>
      <c r="O6" s="255"/>
      <c r="P6" s="255"/>
      <c r="Q6" s="256"/>
      <c r="R6" s="4"/>
      <c r="S6" s="4"/>
    </row>
    <row r="7" spans="1:19" s="5" customFormat="1" ht="30" customHeight="1" thickBot="1" x14ac:dyDescent="0.3">
      <c r="A7" s="253" t="s">
        <v>8</v>
      </c>
      <c r="B7" s="253"/>
      <c r="C7" s="253"/>
      <c r="D7" s="253"/>
      <c r="E7" s="253"/>
      <c r="F7" s="253"/>
      <c r="G7" s="253"/>
      <c r="H7" s="261" t="s">
        <v>273</v>
      </c>
      <c r="I7" s="255"/>
      <c r="J7" s="255"/>
      <c r="K7" s="255"/>
      <c r="L7" s="255"/>
      <c r="M7" s="255"/>
      <c r="N7" s="255"/>
      <c r="O7" s="255"/>
      <c r="P7" s="255"/>
      <c r="Q7" s="256"/>
      <c r="R7" s="4"/>
      <c r="S7" s="4"/>
    </row>
    <row r="8" spans="1:19" s="5" customFormat="1" ht="30" customHeight="1" thickBot="1" x14ac:dyDescent="0.3">
      <c r="A8" s="253" t="s">
        <v>9</v>
      </c>
      <c r="B8" s="253"/>
      <c r="C8" s="253"/>
      <c r="D8" s="253"/>
      <c r="E8" s="253"/>
      <c r="F8" s="253"/>
      <c r="G8" s="253"/>
      <c r="H8" s="254" t="s">
        <v>274</v>
      </c>
      <c r="I8" s="255"/>
      <c r="J8" s="255"/>
      <c r="K8" s="255"/>
      <c r="L8" s="255"/>
      <c r="M8" s="255"/>
      <c r="N8" s="255"/>
      <c r="O8" s="255"/>
      <c r="P8" s="255"/>
      <c r="Q8" s="256"/>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52"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0" zoomScaleNormal="80" workbookViewId="0"/>
  </sheetViews>
  <sheetFormatPr defaultRowHeight="12.5" x14ac:dyDescent="0.25"/>
  <cols>
    <col min="1" max="5" width="20.54296875" customWidth="1"/>
  </cols>
  <sheetData>
    <row r="1" spans="1:5" ht="23" x14ac:dyDescent="0.5">
      <c r="A1" s="138" t="s">
        <v>234</v>
      </c>
      <c r="B1" s="139"/>
      <c r="C1" s="139"/>
      <c r="D1" s="139"/>
      <c r="E1" s="139"/>
    </row>
    <row r="2" spans="1:5" ht="22.5" customHeight="1" x14ac:dyDescent="0.25">
      <c r="A2" s="267" t="str">
        <f>'Institution ID'!C3</f>
        <v xml:space="preserve">Longwood University </v>
      </c>
      <c r="B2" s="267"/>
      <c r="C2" s="267"/>
      <c r="D2" s="267"/>
      <c r="E2" s="267"/>
    </row>
    <row r="3" spans="1:5" ht="16" thickBot="1" x14ac:dyDescent="0.4">
      <c r="A3" s="140"/>
      <c r="B3" s="140"/>
      <c r="C3" s="140"/>
      <c r="D3" s="140"/>
      <c r="E3" s="140"/>
    </row>
    <row r="4" spans="1:5" ht="85.5" customHeight="1" thickBot="1" x14ac:dyDescent="0.3">
      <c r="A4" s="268" t="s">
        <v>210</v>
      </c>
      <c r="B4" s="269"/>
      <c r="C4" s="269"/>
      <c r="D4" s="269"/>
      <c r="E4" s="270"/>
    </row>
    <row r="5" spans="1:5" ht="15.5" x14ac:dyDescent="0.35">
      <c r="A5" s="143"/>
      <c r="B5" s="143"/>
      <c r="C5" s="143"/>
      <c r="D5" s="143"/>
      <c r="E5" s="143"/>
    </row>
    <row r="6" spans="1:5" ht="18.5" thickBot="1" x14ac:dyDescent="0.45">
      <c r="A6" s="271" t="s">
        <v>205</v>
      </c>
      <c r="B6" s="271"/>
      <c r="C6" s="271"/>
      <c r="D6" s="271"/>
      <c r="E6" s="271"/>
    </row>
    <row r="7" spans="1:5" ht="16" thickBot="1" x14ac:dyDescent="0.4">
      <c r="A7" s="141" t="s">
        <v>204</v>
      </c>
      <c r="B7" s="265" t="s">
        <v>206</v>
      </c>
      <c r="C7" s="266"/>
      <c r="D7" s="265" t="s">
        <v>207</v>
      </c>
      <c r="E7" s="266"/>
    </row>
    <row r="8" spans="1:5" ht="31.5" thickBot="1" x14ac:dyDescent="0.4">
      <c r="A8" s="141" t="s">
        <v>211</v>
      </c>
      <c r="B8" s="141" t="s">
        <v>212</v>
      </c>
      <c r="C8" s="141" t="s">
        <v>208</v>
      </c>
      <c r="D8" s="141" t="s">
        <v>212</v>
      </c>
      <c r="E8" s="141" t="s">
        <v>208</v>
      </c>
    </row>
    <row r="9" spans="1:5" ht="16" thickBot="1" x14ac:dyDescent="0.4">
      <c r="A9" s="142">
        <f>281*30-250</f>
        <v>8180</v>
      </c>
      <c r="B9" s="142">
        <f>289*30-250</f>
        <v>8420</v>
      </c>
      <c r="C9" s="211">
        <f>IF(B9=0,"%",B9/A9-1)</f>
        <v>2.9339853300733409E-2</v>
      </c>
      <c r="D9" s="142">
        <f>297*30-250</f>
        <v>8660</v>
      </c>
      <c r="E9" s="211">
        <f>IF(D9=0,"%",D9/B9-1)</f>
        <v>2.8503562945368266E-2</v>
      </c>
    </row>
    <row r="10" spans="1:5" ht="15.5" x14ac:dyDescent="0.35">
      <c r="A10" s="195"/>
      <c r="B10" s="195"/>
      <c r="C10" s="196"/>
      <c r="D10" s="195"/>
      <c r="E10" s="196"/>
    </row>
    <row r="11" spans="1:5" ht="15.5" x14ac:dyDescent="0.35">
      <c r="A11" s="143"/>
      <c r="B11" s="143"/>
      <c r="C11" s="143"/>
      <c r="D11" s="143"/>
      <c r="E11" s="143"/>
    </row>
    <row r="12" spans="1:5" ht="18.5" thickBot="1" x14ac:dyDescent="0.45">
      <c r="A12" s="271" t="s">
        <v>209</v>
      </c>
      <c r="B12" s="271"/>
      <c r="C12" s="271"/>
      <c r="D12" s="271"/>
      <c r="E12" s="271"/>
    </row>
    <row r="13" spans="1:5" ht="16" thickBot="1" x14ac:dyDescent="0.4">
      <c r="A13" s="141" t="s">
        <v>204</v>
      </c>
      <c r="B13" s="265" t="s">
        <v>206</v>
      </c>
      <c r="C13" s="266"/>
      <c r="D13" s="265" t="s">
        <v>207</v>
      </c>
      <c r="E13" s="266"/>
    </row>
    <row r="14" spans="1:5" ht="31.5" thickBot="1" x14ac:dyDescent="0.4">
      <c r="A14" s="141" t="s">
        <v>211</v>
      </c>
      <c r="B14" s="141" t="s">
        <v>212</v>
      </c>
      <c r="C14" s="141" t="s">
        <v>208</v>
      </c>
      <c r="D14" s="141" t="s">
        <v>212</v>
      </c>
      <c r="E14" s="141" t="s">
        <v>208</v>
      </c>
    </row>
    <row r="15" spans="1:5" ht="16" thickBot="1" x14ac:dyDescent="0.4">
      <c r="A15" s="142">
        <f>197*30</f>
        <v>5910</v>
      </c>
      <c r="B15" s="142">
        <f>203*30</f>
        <v>6090</v>
      </c>
      <c r="C15" s="211">
        <f>IF(B15=0,"%",B15/A15-1)</f>
        <v>3.0456852791878264E-2</v>
      </c>
      <c r="D15" s="142">
        <f>209*30</f>
        <v>6270</v>
      </c>
      <c r="E15" s="211">
        <f>IF(D15=0,"%",D15/B15-1)</f>
        <v>2.9556650246305383E-2</v>
      </c>
    </row>
  </sheetData>
  <mergeCells count="8">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zoomScale="80" zoomScaleNormal="80" zoomScalePageLayoutView="150" workbookViewId="0"/>
  </sheetViews>
  <sheetFormatPr defaultColWidth="8.54296875" defaultRowHeight="12.5" x14ac:dyDescent="0.25"/>
  <cols>
    <col min="1" max="1" width="29.7265625" customWidth="1"/>
    <col min="2" max="2" width="20.54296875" style="9" customWidth="1"/>
    <col min="3" max="5" width="20.54296875" customWidth="1"/>
    <col min="6" max="6" width="25.1796875" customWidth="1"/>
    <col min="8" max="8" width="13.81640625" bestFit="1" customWidth="1"/>
  </cols>
  <sheetData>
    <row r="1" spans="1:8" s="1" customFormat="1" ht="20.149999999999999" customHeight="1" x14ac:dyDescent="0.25">
      <c r="A1" s="86" t="s">
        <v>213</v>
      </c>
      <c r="B1" s="86"/>
      <c r="C1" s="86"/>
      <c r="D1" s="86"/>
      <c r="E1" s="86"/>
    </row>
    <row r="2" spans="1:8" s="1" customFormat="1" ht="20.149999999999999" customHeight="1" x14ac:dyDescent="0.25">
      <c r="A2" s="273" t="str">
        <f>'Institution ID'!C3</f>
        <v xml:space="preserve">Longwood University </v>
      </c>
      <c r="B2" s="273"/>
      <c r="C2" s="273"/>
      <c r="D2" s="273"/>
      <c r="E2" s="273"/>
    </row>
    <row r="3" spans="1:8" s="2" customFormat="1" ht="87.65" customHeight="1" x14ac:dyDescent="0.25">
      <c r="A3" s="275" t="s">
        <v>243</v>
      </c>
      <c r="B3" s="276"/>
      <c r="C3" s="276"/>
      <c r="D3" s="276"/>
      <c r="E3" s="277"/>
    </row>
    <row r="4" spans="1:8" ht="15" customHeight="1" x14ac:dyDescent="0.3">
      <c r="A4" s="274" t="s">
        <v>0</v>
      </c>
      <c r="B4" s="79" t="s">
        <v>136</v>
      </c>
      <c r="C4" s="79" t="s">
        <v>144</v>
      </c>
      <c r="D4" s="79" t="s">
        <v>137</v>
      </c>
      <c r="E4" s="79" t="s">
        <v>138</v>
      </c>
    </row>
    <row r="5" spans="1:8" ht="30" customHeight="1" x14ac:dyDescent="0.25">
      <c r="A5" s="274"/>
      <c r="B5" s="47" t="s">
        <v>226</v>
      </c>
      <c r="C5" s="47" t="s">
        <v>226</v>
      </c>
      <c r="D5" s="47" t="s">
        <v>227</v>
      </c>
      <c r="E5" s="47" t="s">
        <v>227</v>
      </c>
    </row>
    <row r="6" spans="1:8" ht="15" customHeight="1" x14ac:dyDescent="0.3">
      <c r="A6" s="14" t="s">
        <v>11</v>
      </c>
      <c r="B6" s="272"/>
      <c r="C6" s="272"/>
      <c r="D6" s="272"/>
      <c r="E6" s="272"/>
      <c r="H6" s="241"/>
    </row>
    <row r="7" spans="1:8" ht="15" customHeight="1" x14ac:dyDescent="0.25">
      <c r="A7" s="48" t="s">
        <v>97</v>
      </c>
      <c r="B7" s="13">
        <v>27265595</v>
      </c>
      <c r="C7" s="13">
        <v>26128555</v>
      </c>
      <c r="D7" s="13">
        <v>26886283.094999999</v>
      </c>
      <c r="E7" s="13">
        <v>27665985</v>
      </c>
      <c r="F7" s="54"/>
      <c r="H7" s="241"/>
    </row>
    <row r="8" spans="1:8" ht="15" customHeight="1" x14ac:dyDescent="0.25">
      <c r="A8" s="48" t="s">
        <v>98</v>
      </c>
      <c r="B8" s="13">
        <v>4601077</v>
      </c>
      <c r="C8" s="13">
        <v>3828215</v>
      </c>
      <c r="D8" s="13">
        <v>3939233.2349999999</v>
      </c>
      <c r="E8" s="13">
        <v>4053471</v>
      </c>
      <c r="F8" s="54"/>
    </row>
    <row r="9" spans="1:8" ht="15" customHeight="1" x14ac:dyDescent="0.25">
      <c r="A9" s="48" t="s">
        <v>99</v>
      </c>
      <c r="B9" s="13">
        <v>5185576</v>
      </c>
      <c r="C9" s="13">
        <v>5035174</v>
      </c>
      <c r="D9" s="13">
        <v>5181194.0459999992</v>
      </c>
      <c r="E9" s="13">
        <v>8463948</v>
      </c>
      <c r="F9" s="54"/>
    </row>
    <row r="10" spans="1:8" ht="15" customHeight="1" x14ac:dyDescent="0.25">
      <c r="A10" s="48" t="s">
        <v>100</v>
      </c>
      <c r="B10" s="13">
        <v>904246</v>
      </c>
      <c r="C10" s="13">
        <v>829618</v>
      </c>
      <c r="D10" s="13">
        <v>853676.9219999999</v>
      </c>
      <c r="E10" s="13">
        <v>868925</v>
      </c>
      <c r="F10" s="54"/>
    </row>
    <row r="11" spans="1:8" ht="15" customHeight="1" x14ac:dyDescent="0.25">
      <c r="A11" s="48" t="s">
        <v>101</v>
      </c>
      <c r="B11" s="13">
        <f>0</f>
        <v>0</v>
      </c>
      <c r="C11" s="13">
        <f>0</f>
        <v>0</v>
      </c>
      <c r="D11" s="13">
        <f>0</f>
        <v>0</v>
      </c>
      <c r="E11" s="13">
        <f>0</f>
        <v>0</v>
      </c>
    </row>
    <row r="12" spans="1:8" ht="15" customHeight="1" x14ac:dyDescent="0.25">
      <c r="A12" s="48" t="s">
        <v>102</v>
      </c>
      <c r="B12" s="13">
        <f>0</f>
        <v>0</v>
      </c>
      <c r="C12" s="13">
        <f>0</f>
        <v>0</v>
      </c>
      <c r="D12" s="13">
        <f>0</f>
        <v>0</v>
      </c>
      <c r="E12" s="13">
        <f>0</f>
        <v>0</v>
      </c>
    </row>
    <row r="13" spans="1:8" ht="15" customHeight="1" x14ac:dyDescent="0.25">
      <c r="A13" s="48" t="s">
        <v>103</v>
      </c>
      <c r="B13" s="13">
        <f>0</f>
        <v>0</v>
      </c>
      <c r="C13" s="13">
        <f>0</f>
        <v>0</v>
      </c>
      <c r="D13" s="13">
        <f>0</f>
        <v>0</v>
      </c>
      <c r="E13" s="13">
        <f>0</f>
        <v>0</v>
      </c>
    </row>
    <row r="14" spans="1:8" ht="15" customHeight="1" x14ac:dyDescent="0.25">
      <c r="A14" s="48" t="s">
        <v>104</v>
      </c>
      <c r="B14" s="13">
        <f>0</f>
        <v>0</v>
      </c>
      <c r="C14" s="13">
        <f>0</f>
        <v>0</v>
      </c>
      <c r="D14" s="13">
        <f>0</f>
        <v>0</v>
      </c>
      <c r="E14" s="13">
        <f>0</f>
        <v>0</v>
      </c>
    </row>
    <row r="15" spans="1:8" ht="15" customHeight="1" x14ac:dyDescent="0.25">
      <c r="A15" s="48" t="s">
        <v>105</v>
      </c>
      <c r="B15" s="13">
        <f>0</f>
        <v>0</v>
      </c>
      <c r="C15" s="13">
        <f>0</f>
        <v>0</v>
      </c>
      <c r="D15" s="13">
        <f>0</f>
        <v>0</v>
      </c>
      <c r="E15" s="13">
        <f>0</f>
        <v>0</v>
      </c>
    </row>
    <row r="16" spans="1:8" ht="15" customHeight="1" x14ac:dyDescent="0.25">
      <c r="A16" s="48" t="s">
        <v>106</v>
      </c>
      <c r="B16" s="13">
        <f>0</f>
        <v>0</v>
      </c>
      <c r="C16" s="13">
        <f>0</f>
        <v>0</v>
      </c>
      <c r="D16" s="13">
        <f>0</f>
        <v>0</v>
      </c>
      <c r="E16" s="13">
        <f>0</f>
        <v>0</v>
      </c>
    </row>
    <row r="17" spans="1:8" ht="15" customHeight="1" x14ac:dyDescent="0.25">
      <c r="A17" s="48" t="s">
        <v>107</v>
      </c>
      <c r="B17" s="13">
        <f>0</f>
        <v>0</v>
      </c>
      <c r="C17" s="13">
        <f>0</f>
        <v>0</v>
      </c>
      <c r="D17" s="13">
        <f>0</f>
        <v>0</v>
      </c>
      <c r="E17" s="13">
        <f>0</f>
        <v>0</v>
      </c>
    </row>
    <row r="18" spans="1:8" ht="15" customHeight="1" x14ac:dyDescent="0.25">
      <c r="A18" s="48" t="s">
        <v>108</v>
      </c>
      <c r="B18" s="13">
        <f>0</f>
        <v>0</v>
      </c>
      <c r="C18" s="13">
        <f>0</f>
        <v>0</v>
      </c>
      <c r="D18" s="13">
        <f>0</f>
        <v>0</v>
      </c>
      <c r="E18" s="13">
        <f>0</f>
        <v>0</v>
      </c>
    </row>
    <row r="19" spans="1:8" ht="15" customHeight="1" x14ac:dyDescent="0.25">
      <c r="A19" s="48" t="s">
        <v>109</v>
      </c>
      <c r="B19" s="13">
        <f>0</f>
        <v>0</v>
      </c>
      <c r="C19" s="13">
        <f>0</f>
        <v>0</v>
      </c>
      <c r="D19" s="13">
        <f>0</f>
        <v>0</v>
      </c>
      <c r="E19" s="13">
        <f>0</f>
        <v>0</v>
      </c>
    </row>
    <row r="20" spans="1:8" ht="15" customHeight="1" x14ac:dyDescent="0.25">
      <c r="A20" s="48" t="s">
        <v>110</v>
      </c>
      <c r="B20" s="13">
        <f>0</f>
        <v>0</v>
      </c>
      <c r="C20" s="13">
        <f>0</f>
        <v>0</v>
      </c>
      <c r="D20" s="13">
        <f>0</f>
        <v>0</v>
      </c>
      <c r="E20" s="13">
        <f>0</f>
        <v>0</v>
      </c>
    </row>
    <row r="21" spans="1:8" ht="15" customHeight="1" x14ac:dyDescent="0.25">
      <c r="A21" s="11" t="s">
        <v>3</v>
      </c>
      <c r="B21" s="13">
        <v>1294379</v>
      </c>
      <c r="C21" s="13">
        <f>1100000+424000-300000</f>
        <v>1224000</v>
      </c>
      <c r="D21" s="13">
        <v>1524000</v>
      </c>
      <c r="E21" s="13">
        <v>1524000</v>
      </c>
    </row>
    <row r="22" spans="1:8" ht="15" customHeight="1" x14ac:dyDescent="0.25">
      <c r="A22" s="85" t="s">
        <v>215</v>
      </c>
      <c r="B22" s="43">
        <f>SUM(B7:B21)</f>
        <v>39250873</v>
      </c>
      <c r="C22" s="43">
        <f>SUM(C7:C21)</f>
        <v>37045562</v>
      </c>
      <c r="D22" s="43">
        <f>SUM(D7:D21)</f>
        <v>38384387.297999993</v>
      </c>
      <c r="E22" s="43">
        <f>SUM(E7:E21)</f>
        <v>42576329</v>
      </c>
      <c r="F22" s="235"/>
      <c r="G22" s="236"/>
    </row>
    <row r="23" spans="1:8" s="9" customFormat="1" ht="15" customHeight="1" x14ac:dyDescent="0.25">
      <c r="A23" s="131"/>
      <c r="B23" s="81"/>
      <c r="C23" s="81"/>
      <c r="D23" s="81"/>
      <c r="E23" s="81"/>
      <c r="H23" s="54"/>
    </row>
    <row r="24" spans="1:8" s="9" customFormat="1" ht="15" customHeight="1" x14ac:dyDescent="0.25">
      <c r="A24" s="131"/>
      <c r="B24" s="81"/>
      <c r="C24" s="81"/>
      <c r="D24" s="81"/>
      <c r="E24" s="81"/>
    </row>
    <row r="25" spans="1:8" s="9" customFormat="1" ht="15" customHeight="1" x14ac:dyDescent="0.3">
      <c r="A25" s="118"/>
      <c r="B25" s="133" t="s">
        <v>136</v>
      </c>
      <c r="C25" s="133" t="s">
        <v>144</v>
      </c>
      <c r="D25" s="133" t="s">
        <v>137</v>
      </c>
      <c r="E25" s="133" t="s">
        <v>138</v>
      </c>
    </row>
    <row r="26" spans="1:8" s="9" customFormat="1" ht="35.25" customHeight="1" x14ac:dyDescent="0.3">
      <c r="A26" s="132" t="s">
        <v>139</v>
      </c>
      <c r="B26" s="134" t="s">
        <v>214</v>
      </c>
      <c r="C26" s="134" t="s">
        <v>214</v>
      </c>
      <c r="D26" s="134" t="s">
        <v>214</v>
      </c>
      <c r="E26" s="134" t="s">
        <v>214</v>
      </c>
    </row>
    <row r="27" spans="1:8" s="9" customFormat="1" ht="15" customHeight="1" x14ac:dyDescent="0.25">
      <c r="A27" s="80" t="s">
        <v>140</v>
      </c>
      <c r="B27" s="82">
        <v>19500717</v>
      </c>
      <c r="C27" s="82">
        <f>388653+8428779+246537+111495+477808+7096492+491983+140946+376733+359</f>
        <v>17759785</v>
      </c>
      <c r="D27" s="82">
        <f>18328952-314303</f>
        <v>18014649</v>
      </c>
      <c r="E27" s="82">
        <v>18231202</v>
      </c>
    </row>
    <row r="28" spans="1:8" s="9" customFormat="1" ht="15" customHeight="1" x14ac:dyDescent="0.25">
      <c r="A28" s="80" t="s">
        <v>141</v>
      </c>
      <c r="B28" s="82">
        <v>1026353</v>
      </c>
      <c r="C28" s="82">
        <f>21212+414018+10288+18043+377346+18394+2104+13849+45870+44902+3163+196685+28235</f>
        <v>1194109</v>
      </c>
      <c r="D28" s="82">
        <f>1409351+755911-100000</f>
        <v>2065262</v>
      </c>
      <c r="E28" s="82">
        <v>2105231</v>
      </c>
    </row>
    <row r="29" spans="1:8" s="9" customFormat="1" ht="15" customHeight="1" x14ac:dyDescent="0.25">
      <c r="A29" s="80" t="s">
        <v>142</v>
      </c>
      <c r="B29" s="83">
        <f>B28+B27</f>
        <v>20527070</v>
      </c>
      <c r="C29" s="83">
        <f>C28+C27</f>
        <v>18953894</v>
      </c>
      <c r="D29" s="83">
        <f t="shared" ref="D29:E29" si="0">D28+D27</f>
        <v>20079911</v>
      </c>
      <c r="E29" s="83">
        <f t="shared" si="0"/>
        <v>20336433</v>
      </c>
    </row>
    <row r="30" spans="1:8" s="9" customFormat="1" ht="15" customHeight="1" x14ac:dyDescent="0.3">
      <c r="A30" s="84" t="s">
        <v>143</v>
      </c>
      <c r="B30" s="82">
        <f>7305657+17571668+B29+1111090</f>
        <v>46515485</v>
      </c>
      <c r="C30" s="82">
        <f>C29+7385492+19430068+154300</f>
        <v>45923754</v>
      </c>
      <c r="D30" s="82">
        <f>D29+7385492+20207270+154300</f>
        <v>47826973</v>
      </c>
      <c r="E30" s="82">
        <f>E29+7310685+21015561+154300</f>
        <v>48816979</v>
      </c>
      <c r="F30" s="54"/>
    </row>
    <row r="31" spans="1:8" s="9" customFormat="1" ht="15" customHeight="1" x14ac:dyDescent="0.3">
      <c r="A31" s="136"/>
      <c r="B31" s="137"/>
      <c r="C31" s="137"/>
      <c r="D31" s="137"/>
      <c r="E31" s="137"/>
    </row>
    <row r="32" spans="1:8" x14ac:dyDescent="0.25">
      <c r="D32" s="54"/>
      <c r="E32" s="54"/>
    </row>
  </sheetData>
  <sheetProtection selectLockedCells="1"/>
  <mergeCells count="4">
    <mergeCell ref="B6:E6"/>
    <mergeCell ref="A2:E2"/>
    <mergeCell ref="A4:A5"/>
    <mergeCell ref="A3:E3"/>
  </mergeCells>
  <phoneticPr fontId="10" type="noConversion"/>
  <pageMargins left="0.5" right="0" top="0" bottom="0" header="0" footer="0.1"/>
  <pageSetup scale="85" orientation="landscape" r:id="rId1"/>
  <headerFooter alignWithMargins="0">
    <oddFooter>&amp;L2017 Six-Year Plan - Finance-Tuition and Fees &amp;C&amp;P of &amp;N&amp;RSCHEV - 5/23/17</oddFooter>
  </headerFooter>
  <ignoredErrors>
    <ignoredError sqref="B11:E20 B22:C22"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80" zoomScaleNormal="80" workbookViewId="0"/>
  </sheetViews>
  <sheetFormatPr defaultColWidth="9.1796875" defaultRowHeight="12.5" x14ac:dyDescent="0.25"/>
  <cols>
    <col min="1" max="1" width="9.81640625" style="145" customWidth="1"/>
    <col min="2" max="2" width="50.54296875" style="145" customWidth="1"/>
    <col min="3" max="3" width="7.1796875" style="145" customWidth="1"/>
    <col min="4" max="4" width="18.54296875" style="145" customWidth="1"/>
    <col min="5" max="5" width="15.453125" style="145" customWidth="1"/>
    <col min="6" max="7" width="18.54296875" style="145" customWidth="1"/>
    <col min="8" max="8" width="18.453125" style="145" customWidth="1"/>
    <col min="9" max="9" width="20.26953125" style="145" customWidth="1"/>
    <col min="10" max="11" width="50.54296875" style="145" customWidth="1"/>
    <col min="12" max="12" width="41.81640625" style="145" customWidth="1"/>
    <col min="13" max="16384" width="9.1796875" style="145"/>
  </cols>
  <sheetData>
    <row r="1" spans="1:11" ht="20.149999999999999" customHeight="1" x14ac:dyDescent="0.25">
      <c r="A1" s="144" t="s">
        <v>216</v>
      </c>
      <c r="B1" s="144"/>
      <c r="C1" s="144"/>
      <c r="D1" s="144"/>
      <c r="E1" s="144"/>
      <c r="F1" s="144"/>
      <c r="G1" s="144"/>
      <c r="H1" s="144"/>
      <c r="I1" s="144"/>
    </row>
    <row r="2" spans="1:11" ht="20.149999999999999" customHeight="1" x14ac:dyDescent="0.25">
      <c r="A2" s="283" t="str">
        <f>'Institution ID'!C3</f>
        <v xml:space="preserve">Longwood University </v>
      </c>
      <c r="B2" s="283"/>
      <c r="C2" s="283"/>
      <c r="D2" s="283"/>
      <c r="E2" s="283"/>
      <c r="F2" s="283"/>
      <c r="G2" s="283"/>
      <c r="H2" s="283"/>
      <c r="I2" s="283"/>
    </row>
    <row r="3" spans="1:11" s="148" customFormat="1" ht="20.149999999999999" customHeight="1" x14ac:dyDescent="0.25">
      <c r="A3" s="146" t="s">
        <v>217</v>
      </c>
      <c r="B3" s="147"/>
      <c r="C3" s="147"/>
      <c r="D3" s="147"/>
      <c r="E3" s="147"/>
      <c r="F3" s="147"/>
    </row>
    <row r="4" spans="1:11" s="149" customFormat="1" ht="30" customHeight="1" x14ac:dyDescent="0.25">
      <c r="A4" s="281" t="s">
        <v>245</v>
      </c>
      <c r="B4" s="281"/>
      <c r="C4" s="281"/>
      <c r="D4" s="281"/>
      <c r="E4" s="281"/>
      <c r="F4" s="281"/>
      <c r="G4" s="281"/>
      <c r="H4" s="281"/>
      <c r="I4" s="281"/>
      <c r="J4" s="281"/>
      <c r="K4" s="281"/>
    </row>
    <row r="5" spans="1:11" s="149" customFormat="1" ht="79.5" customHeight="1" thickBot="1" x14ac:dyDescent="0.3">
      <c r="A5" s="282"/>
      <c r="B5" s="282"/>
      <c r="C5" s="282"/>
      <c r="D5" s="282"/>
      <c r="E5" s="282"/>
      <c r="F5" s="282"/>
      <c r="G5" s="282"/>
      <c r="H5" s="282"/>
      <c r="I5" s="282"/>
      <c r="J5" s="282"/>
      <c r="K5" s="282"/>
    </row>
    <row r="6" spans="1:11" s="150" customFormat="1" ht="20.149999999999999" customHeight="1" thickBot="1" x14ac:dyDescent="0.4">
      <c r="A6" s="284" t="s">
        <v>24</v>
      </c>
      <c r="B6" s="287" t="s">
        <v>155</v>
      </c>
      <c r="C6" s="288"/>
      <c r="D6" s="288"/>
      <c r="E6" s="288"/>
      <c r="F6" s="288"/>
      <c r="G6" s="288"/>
      <c r="H6" s="288"/>
      <c r="I6" s="288"/>
      <c r="J6" s="288"/>
      <c r="K6" s="289"/>
    </row>
    <row r="7" spans="1:11" s="150" customFormat="1" ht="20.149999999999999" customHeight="1" thickBot="1" x14ac:dyDescent="0.4">
      <c r="A7" s="285"/>
      <c r="C7" s="151"/>
      <c r="D7" s="287" t="s">
        <v>135</v>
      </c>
      <c r="E7" s="288"/>
      <c r="F7" s="288"/>
      <c r="G7" s="288"/>
      <c r="H7" s="288"/>
      <c r="I7" s="288"/>
      <c r="J7" s="152" t="s">
        <v>156</v>
      </c>
      <c r="K7" s="153" t="s">
        <v>157</v>
      </c>
    </row>
    <row r="8" spans="1:11" s="150" customFormat="1" ht="20.149999999999999" customHeight="1" thickBot="1" x14ac:dyDescent="0.4">
      <c r="A8" s="285"/>
      <c r="B8" s="290" t="s">
        <v>25</v>
      </c>
      <c r="C8" s="303" t="s">
        <v>121</v>
      </c>
      <c r="D8" s="288"/>
      <c r="E8" s="288"/>
      <c r="F8" s="288"/>
      <c r="G8" s="288"/>
      <c r="H8" s="288"/>
      <c r="I8" s="288"/>
      <c r="J8" s="300" t="s">
        <v>158</v>
      </c>
      <c r="K8" s="297" t="s">
        <v>159</v>
      </c>
    </row>
    <row r="9" spans="1:11" s="150" customFormat="1" ht="20.149999999999999" customHeight="1" thickBot="1" x14ac:dyDescent="0.4">
      <c r="A9" s="285"/>
      <c r="B9" s="291"/>
      <c r="C9" s="304"/>
      <c r="D9" s="293" t="s">
        <v>133</v>
      </c>
      <c r="E9" s="294"/>
      <c r="F9" s="295"/>
      <c r="G9" s="296" t="s">
        <v>134</v>
      </c>
      <c r="H9" s="288"/>
      <c r="I9" s="288"/>
      <c r="J9" s="301"/>
      <c r="K9" s="298"/>
    </row>
    <row r="10" spans="1:11" s="150" customFormat="1" ht="52.5" customHeight="1" thickBot="1" x14ac:dyDescent="0.4">
      <c r="A10" s="286"/>
      <c r="B10" s="292"/>
      <c r="C10" s="305"/>
      <c r="D10" s="155" t="s">
        <v>118</v>
      </c>
      <c r="E10" s="155" t="s">
        <v>4</v>
      </c>
      <c r="F10" s="155" t="s">
        <v>117</v>
      </c>
      <c r="G10" s="155" t="s">
        <v>118</v>
      </c>
      <c r="H10" s="155" t="s">
        <v>4</v>
      </c>
      <c r="I10" s="155" t="s">
        <v>117</v>
      </c>
      <c r="J10" s="302"/>
      <c r="K10" s="299"/>
    </row>
    <row r="11" spans="1:11" ht="33.75" customHeight="1" thickTop="1" thickBot="1" x14ac:dyDescent="0.3">
      <c r="A11" s="156">
        <v>1</v>
      </c>
      <c r="B11" s="234" t="s">
        <v>275</v>
      </c>
      <c r="C11" s="157" t="s">
        <v>276</v>
      </c>
      <c r="D11" s="219">
        <f t="shared" ref="D11:D23" si="0">SUM(E11:F11)</f>
        <v>0</v>
      </c>
      <c r="E11" s="158">
        <v>0</v>
      </c>
      <c r="F11" s="158">
        <v>0</v>
      </c>
      <c r="G11" s="222">
        <f t="shared" ref="G11:G23" si="1">SUM(H11:I11)</f>
        <v>252408</v>
      </c>
      <c r="H11" s="158">
        <v>0</v>
      </c>
      <c r="I11" s="158">
        <v>252408</v>
      </c>
      <c r="J11" s="159" t="s">
        <v>293</v>
      </c>
      <c r="K11" s="159"/>
    </row>
    <row r="12" spans="1:11" ht="29.25" customHeight="1" thickTop="1" thickBot="1" x14ac:dyDescent="0.3">
      <c r="A12" s="160">
        <v>2</v>
      </c>
      <c r="B12" s="161" t="s">
        <v>289</v>
      </c>
      <c r="C12" s="162" t="s">
        <v>276</v>
      </c>
      <c r="D12" s="220">
        <f t="shared" si="0"/>
        <v>100000</v>
      </c>
      <c r="E12" s="163">
        <v>100000</v>
      </c>
      <c r="F12" s="163">
        <f>0</f>
        <v>0</v>
      </c>
      <c r="G12" s="223">
        <f t="shared" si="1"/>
        <v>100000</v>
      </c>
      <c r="H12" s="163">
        <v>100000</v>
      </c>
      <c r="I12" s="163">
        <v>0</v>
      </c>
      <c r="J12" s="164" t="s">
        <v>294</v>
      </c>
      <c r="K12" s="164"/>
    </row>
    <row r="13" spans="1:11" ht="20.149999999999999" customHeight="1" thickTop="1" thickBot="1" x14ac:dyDescent="0.3">
      <c r="A13" s="160">
        <v>3</v>
      </c>
      <c r="B13" s="161" t="s">
        <v>290</v>
      </c>
      <c r="C13" s="162" t="s">
        <v>282</v>
      </c>
      <c r="D13" s="220">
        <f t="shared" si="0"/>
        <v>0</v>
      </c>
      <c r="E13" s="163">
        <f>0</f>
        <v>0</v>
      </c>
      <c r="F13" s="163">
        <f>0</f>
        <v>0</v>
      </c>
      <c r="G13" s="223">
        <f t="shared" si="1"/>
        <v>0</v>
      </c>
      <c r="H13" s="163">
        <v>0</v>
      </c>
      <c r="I13" s="163">
        <v>0</v>
      </c>
      <c r="J13" s="164" t="s">
        <v>295</v>
      </c>
      <c r="K13" s="164"/>
    </row>
    <row r="14" spans="1:11" ht="27.75" customHeight="1" thickTop="1" thickBot="1" x14ac:dyDescent="0.3">
      <c r="A14" s="160">
        <v>4</v>
      </c>
      <c r="B14" s="161" t="s">
        <v>291</v>
      </c>
      <c r="C14" s="162" t="s">
        <v>276</v>
      </c>
      <c r="D14" s="220">
        <v>100000</v>
      </c>
      <c r="E14" s="163">
        <v>100000</v>
      </c>
      <c r="F14" s="163">
        <f>0</f>
        <v>0</v>
      </c>
      <c r="G14" s="223">
        <f t="shared" si="1"/>
        <v>250000</v>
      </c>
      <c r="H14" s="163">
        <v>100000</v>
      </c>
      <c r="I14" s="163">
        <v>150000</v>
      </c>
      <c r="J14" s="164" t="s">
        <v>299</v>
      </c>
      <c r="K14" s="164"/>
    </row>
    <row r="15" spans="1:11" ht="44.25" customHeight="1" thickTop="1" thickBot="1" x14ac:dyDescent="0.3">
      <c r="A15" s="165">
        <v>5</v>
      </c>
      <c r="B15" s="166" t="s">
        <v>292</v>
      </c>
      <c r="C15" s="167" t="s">
        <v>280</v>
      </c>
      <c r="D15" s="220">
        <f t="shared" si="0"/>
        <v>0</v>
      </c>
      <c r="E15" s="163">
        <f>0</f>
        <v>0</v>
      </c>
      <c r="F15" s="163">
        <f>0</f>
        <v>0</v>
      </c>
      <c r="G15" s="223">
        <f t="shared" si="1"/>
        <v>0</v>
      </c>
      <c r="H15" s="163">
        <f>0</f>
        <v>0</v>
      </c>
      <c r="I15" s="163">
        <f>0</f>
        <v>0</v>
      </c>
      <c r="J15" s="164" t="s">
        <v>300</v>
      </c>
      <c r="K15" s="164"/>
    </row>
    <row r="16" spans="1:11" ht="28.5" customHeight="1" thickTop="1" thickBot="1" x14ac:dyDescent="0.3">
      <c r="A16" s="160">
        <v>6</v>
      </c>
      <c r="B16" s="234" t="s">
        <v>264</v>
      </c>
      <c r="C16" s="162">
        <v>3</v>
      </c>
      <c r="D16" s="220">
        <f t="shared" si="0"/>
        <v>25000</v>
      </c>
      <c r="E16" s="163">
        <f>0</f>
        <v>0</v>
      </c>
      <c r="F16" s="163">
        <v>25000</v>
      </c>
      <c r="G16" s="223">
        <f t="shared" si="1"/>
        <v>50000</v>
      </c>
      <c r="H16" s="163">
        <f>0</f>
        <v>0</v>
      </c>
      <c r="I16" s="163">
        <v>50000</v>
      </c>
      <c r="J16" s="159" t="s">
        <v>301</v>
      </c>
      <c r="K16" s="164"/>
    </row>
    <row r="17" spans="1:12" ht="20.149999999999999" customHeight="1" thickTop="1" thickBot="1" x14ac:dyDescent="0.3">
      <c r="A17" s="160"/>
      <c r="B17" s="161"/>
      <c r="C17" s="162"/>
      <c r="D17" s="220"/>
      <c r="E17" s="163"/>
      <c r="F17" s="163"/>
      <c r="G17" s="223"/>
      <c r="H17" s="163"/>
      <c r="I17" s="163"/>
      <c r="J17" s="164"/>
      <c r="K17" s="164"/>
    </row>
    <row r="18" spans="1:12" ht="20.149999999999999" customHeight="1" thickTop="1" thickBot="1" x14ac:dyDescent="0.3">
      <c r="A18" s="160"/>
      <c r="B18" s="161"/>
      <c r="C18" s="162"/>
      <c r="D18" s="220">
        <f t="shared" si="0"/>
        <v>0</v>
      </c>
      <c r="E18" s="163">
        <f>0</f>
        <v>0</v>
      </c>
      <c r="F18" s="163">
        <f>0</f>
        <v>0</v>
      </c>
      <c r="G18" s="223">
        <f t="shared" si="1"/>
        <v>0</v>
      </c>
      <c r="H18" s="163">
        <f>0</f>
        <v>0</v>
      </c>
      <c r="I18" s="163">
        <f>0</f>
        <v>0</v>
      </c>
      <c r="J18" s="164"/>
      <c r="K18" s="164"/>
    </row>
    <row r="19" spans="1:12" ht="20.149999999999999" customHeight="1" thickTop="1" thickBot="1" x14ac:dyDescent="0.3">
      <c r="A19" s="160"/>
      <c r="B19" s="161"/>
      <c r="C19" s="162"/>
      <c r="D19" s="220">
        <f t="shared" si="0"/>
        <v>0</v>
      </c>
      <c r="E19" s="163">
        <f>0</f>
        <v>0</v>
      </c>
      <c r="F19" s="163">
        <f>0</f>
        <v>0</v>
      </c>
      <c r="G19" s="223">
        <f t="shared" si="1"/>
        <v>0</v>
      </c>
      <c r="H19" s="163">
        <f>0</f>
        <v>0</v>
      </c>
      <c r="I19" s="163">
        <f>0</f>
        <v>0</v>
      </c>
      <c r="J19" s="164"/>
      <c r="K19" s="164"/>
    </row>
    <row r="20" spans="1:12" ht="20.149999999999999" customHeight="1" thickTop="1" thickBot="1" x14ac:dyDescent="0.3">
      <c r="A20" s="160"/>
      <c r="B20" s="161"/>
      <c r="C20" s="162"/>
      <c r="D20" s="220">
        <f t="shared" si="0"/>
        <v>0</v>
      </c>
      <c r="E20" s="163">
        <f>0</f>
        <v>0</v>
      </c>
      <c r="F20" s="163">
        <f>0</f>
        <v>0</v>
      </c>
      <c r="G20" s="223">
        <f t="shared" si="1"/>
        <v>0</v>
      </c>
      <c r="H20" s="163">
        <f>0</f>
        <v>0</v>
      </c>
      <c r="I20" s="163">
        <f>0</f>
        <v>0</v>
      </c>
      <c r="J20" s="164"/>
      <c r="K20" s="164"/>
    </row>
    <row r="21" spans="1:12" ht="20.149999999999999" customHeight="1" thickTop="1" thickBot="1" x14ac:dyDescent="0.3">
      <c r="A21" s="160"/>
      <c r="B21" s="161"/>
      <c r="C21" s="162"/>
      <c r="D21" s="220">
        <f t="shared" si="0"/>
        <v>0</v>
      </c>
      <c r="E21" s="163">
        <f>0</f>
        <v>0</v>
      </c>
      <c r="F21" s="163">
        <f>0</f>
        <v>0</v>
      </c>
      <c r="G21" s="223">
        <f t="shared" si="1"/>
        <v>0</v>
      </c>
      <c r="H21" s="163">
        <f>0</f>
        <v>0</v>
      </c>
      <c r="I21" s="163">
        <f>0</f>
        <v>0</v>
      </c>
      <c r="J21" s="164"/>
      <c r="K21" s="164"/>
    </row>
    <row r="22" spans="1:12" ht="20.149999999999999" customHeight="1" thickTop="1" thickBot="1" x14ac:dyDescent="0.3">
      <c r="A22" s="160"/>
      <c r="B22" s="161"/>
      <c r="C22" s="162"/>
      <c r="D22" s="220">
        <f t="shared" si="0"/>
        <v>0</v>
      </c>
      <c r="E22" s="163">
        <f>0</f>
        <v>0</v>
      </c>
      <c r="F22" s="163">
        <f>0</f>
        <v>0</v>
      </c>
      <c r="G22" s="223">
        <f t="shared" si="1"/>
        <v>0</v>
      </c>
      <c r="H22" s="163">
        <f>0</f>
        <v>0</v>
      </c>
      <c r="I22" s="163">
        <f>0</f>
        <v>0</v>
      </c>
      <c r="J22" s="164"/>
      <c r="K22" s="164"/>
    </row>
    <row r="23" spans="1:12" ht="20.149999999999999" customHeight="1" thickTop="1" x14ac:dyDescent="0.25">
      <c r="A23" s="160"/>
      <c r="B23" s="161"/>
      <c r="C23" s="162"/>
      <c r="D23" s="221">
        <f t="shared" si="0"/>
        <v>0</v>
      </c>
      <c r="E23" s="163">
        <f>0</f>
        <v>0</v>
      </c>
      <c r="F23" s="163">
        <f>0</f>
        <v>0</v>
      </c>
      <c r="G23" s="224">
        <f t="shared" si="1"/>
        <v>0</v>
      </c>
      <c r="H23" s="163">
        <f>0</f>
        <v>0</v>
      </c>
      <c r="I23" s="163">
        <f>0</f>
        <v>0</v>
      </c>
      <c r="J23" s="164"/>
      <c r="K23" s="164"/>
    </row>
    <row r="24" spans="1:12" ht="20.149999999999999" customHeight="1" x14ac:dyDescent="0.25">
      <c r="A24" s="278"/>
      <c r="B24" s="279"/>
      <c r="C24" s="279"/>
      <c r="D24" s="279"/>
      <c r="E24" s="279"/>
      <c r="F24" s="279"/>
      <c r="G24" s="279"/>
      <c r="H24" s="279"/>
      <c r="I24" s="279"/>
      <c r="J24" s="279"/>
      <c r="K24" s="279"/>
    </row>
    <row r="25" spans="1:12" ht="41.15" customHeight="1" x14ac:dyDescent="0.25">
      <c r="A25" s="168"/>
      <c r="B25" s="169" t="s">
        <v>160</v>
      </c>
      <c r="C25" s="169"/>
      <c r="D25" s="72">
        <f>SUM(D11:D23)</f>
        <v>225000</v>
      </c>
      <c r="E25" s="42">
        <f t="shared" ref="E25:I25" si="2">SUM(E11:E23)</f>
        <v>200000</v>
      </c>
      <c r="F25" s="42">
        <f t="shared" si="2"/>
        <v>25000</v>
      </c>
      <c r="G25" s="218">
        <f t="shared" si="2"/>
        <v>652408</v>
      </c>
      <c r="H25" s="42">
        <f t="shared" si="2"/>
        <v>200000</v>
      </c>
      <c r="I25" s="42">
        <f t="shared" si="2"/>
        <v>452408</v>
      </c>
      <c r="J25" s="280"/>
      <c r="K25" s="280"/>
    </row>
    <row r="26" spans="1:12" x14ac:dyDescent="0.25">
      <c r="A26" s="170"/>
    </row>
    <row r="27" spans="1:12" ht="18" x14ac:dyDescent="0.4">
      <c r="A27" s="171" t="s">
        <v>218</v>
      </c>
      <c r="B27" s="172"/>
      <c r="C27" s="172"/>
      <c r="D27" s="172"/>
      <c r="E27" s="172"/>
      <c r="F27" s="172"/>
      <c r="G27" s="172"/>
      <c r="H27" s="208"/>
      <c r="I27" s="173"/>
    </row>
    <row r="28" spans="1:12" ht="90.75" customHeight="1" thickBot="1" x14ac:dyDescent="0.3">
      <c r="A28" s="324" t="s">
        <v>244</v>
      </c>
      <c r="B28" s="325"/>
      <c r="C28" s="325"/>
      <c r="D28" s="325"/>
      <c r="E28" s="325"/>
      <c r="F28" s="325"/>
      <c r="G28" s="325"/>
      <c r="H28" s="325"/>
      <c r="I28" s="325"/>
      <c r="J28" s="325"/>
      <c r="K28" s="325"/>
    </row>
    <row r="29" spans="1:12" ht="16.5" customHeight="1" thickBot="1" x14ac:dyDescent="0.4">
      <c r="A29" s="197"/>
      <c r="B29" s="311" t="s">
        <v>161</v>
      </c>
      <c r="C29" s="312"/>
      <c r="D29" s="308" t="s">
        <v>133</v>
      </c>
      <c r="E29" s="309"/>
      <c r="F29" s="310"/>
      <c r="G29" s="308" t="s">
        <v>134</v>
      </c>
      <c r="H29" s="309"/>
      <c r="I29" s="310"/>
      <c r="J29" s="175"/>
      <c r="K29" s="329"/>
      <c r="L29" s="329"/>
    </row>
    <row r="30" spans="1:12" ht="51.75" customHeight="1" thickBot="1" x14ac:dyDescent="0.4">
      <c r="A30" s="197"/>
      <c r="B30" s="327" t="s">
        <v>0</v>
      </c>
      <c r="C30" s="328"/>
      <c r="D30" s="155" t="s">
        <v>118</v>
      </c>
      <c r="E30" s="237" t="s">
        <v>4</v>
      </c>
      <c r="F30" s="154" t="s">
        <v>117</v>
      </c>
      <c r="G30" s="155" t="s">
        <v>118</v>
      </c>
      <c r="H30" s="155" t="s">
        <v>4</v>
      </c>
      <c r="I30" s="154" t="s">
        <v>117</v>
      </c>
      <c r="J30" s="175"/>
      <c r="K30" s="175"/>
      <c r="L30" s="176"/>
    </row>
    <row r="31" spans="1:12" ht="20.149999999999999" customHeight="1" x14ac:dyDescent="0.25">
      <c r="A31" s="174"/>
      <c r="B31" s="314" t="s">
        <v>119</v>
      </c>
      <c r="C31" s="315"/>
      <c r="D31" s="215">
        <f>D25</f>
        <v>225000</v>
      </c>
      <c r="E31" s="216">
        <f>E25</f>
        <v>200000</v>
      </c>
      <c r="F31" s="216">
        <f>F25</f>
        <v>25000</v>
      </c>
      <c r="G31" s="217">
        <f>G25</f>
        <v>652408</v>
      </c>
      <c r="H31" s="217">
        <f t="shared" ref="H31:I31" si="3">H25</f>
        <v>200000</v>
      </c>
      <c r="I31" s="217">
        <f t="shared" si="3"/>
        <v>452408</v>
      </c>
      <c r="J31" s="177"/>
      <c r="K31" s="177"/>
      <c r="L31" s="177"/>
    </row>
    <row r="32" spans="1:12" ht="20.149999999999999" customHeight="1" x14ac:dyDescent="0.25">
      <c r="A32" s="178"/>
      <c r="B32" s="326" t="s">
        <v>266</v>
      </c>
      <c r="C32" s="318"/>
      <c r="D32" s="179">
        <f>SUM(E32:F32)</f>
        <v>0</v>
      </c>
      <c r="E32" s="180">
        <f>0</f>
        <v>0</v>
      </c>
      <c r="F32" s="180">
        <f>0</f>
        <v>0</v>
      </c>
      <c r="G32" s="181">
        <f>SUM(H32:I32)</f>
        <v>436403</v>
      </c>
      <c r="H32" s="180">
        <v>0</v>
      </c>
      <c r="I32" s="180">
        <v>436403</v>
      </c>
      <c r="J32" s="182"/>
      <c r="K32" s="182"/>
      <c r="L32" s="182"/>
    </row>
    <row r="33" spans="1:12" ht="20.149999999999999" customHeight="1" x14ac:dyDescent="0.25">
      <c r="A33" s="178"/>
      <c r="B33" s="326" t="s">
        <v>126</v>
      </c>
      <c r="C33" s="318"/>
      <c r="D33" s="183">
        <f>+F33</f>
        <v>0</v>
      </c>
      <c r="E33" s="184"/>
      <c r="F33" s="184">
        <v>0</v>
      </c>
      <c r="G33" s="185">
        <v>3.5000000000000003E-2</v>
      </c>
      <c r="H33" s="184"/>
      <c r="I33" s="184">
        <f>0</f>
        <v>0</v>
      </c>
      <c r="J33" s="186"/>
      <c r="K33" s="186"/>
      <c r="L33" s="186"/>
    </row>
    <row r="34" spans="1:12" ht="20.149999999999999" customHeight="1" x14ac:dyDescent="0.25">
      <c r="A34" s="178"/>
      <c r="B34" s="187" t="s">
        <v>267</v>
      </c>
      <c r="C34" s="187"/>
      <c r="D34" s="179">
        <f>SUM(E34:F34)</f>
        <v>0</v>
      </c>
      <c r="E34" s="180">
        <f>0</f>
        <v>0</v>
      </c>
      <c r="F34" s="180">
        <f>0</f>
        <v>0</v>
      </c>
      <c r="G34" s="181">
        <f>SUM(H34:I34)</f>
        <v>254761</v>
      </c>
      <c r="H34" s="180">
        <v>0</v>
      </c>
      <c r="I34" s="180">
        <v>254761</v>
      </c>
      <c r="J34" s="182"/>
      <c r="K34" s="182"/>
      <c r="L34" s="182"/>
    </row>
    <row r="35" spans="1:12" ht="20.149999999999999" customHeight="1" x14ac:dyDescent="0.25">
      <c r="A35" s="178"/>
      <c r="B35" s="187" t="s">
        <v>268</v>
      </c>
      <c r="C35" s="187"/>
      <c r="D35" s="183">
        <f>+F35</f>
        <v>0</v>
      </c>
      <c r="E35" s="184"/>
      <c r="F35" s="184">
        <f>0</f>
        <v>0</v>
      </c>
      <c r="G35" s="185">
        <v>3.5000000000000003E-2</v>
      </c>
      <c r="H35" s="184"/>
      <c r="I35" s="184">
        <f>0</f>
        <v>0</v>
      </c>
      <c r="J35" s="186"/>
      <c r="K35" s="186"/>
      <c r="L35" s="186"/>
    </row>
    <row r="36" spans="1:12" ht="20.149999999999999" customHeight="1" x14ac:dyDescent="0.25">
      <c r="A36" s="178"/>
      <c r="B36" s="187" t="s">
        <v>257</v>
      </c>
      <c r="C36" s="187"/>
      <c r="D36" s="179">
        <f>SUM(E36:F36)</f>
        <v>0</v>
      </c>
      <c r="E36" s="180">
        <f>0</f>
        <v>0</v>
      </c>
      <c r="F36" s="180">
        <f>0</f>
        <v>0</v>
      </c>
      <c r="G36" s="181">
        <f>SUM(H36:I36)</f>
        <v>327154</v>
      </c>
      <c r="H36" s="180">
        <v>0</v>
      </c>
      <c r="I36" s="180">
        <v>327154</v>
      </c>
      <c r="J36" s="182"/>
      <c r="K36" s="182"/>
      <c r="L36" s="182"/>
    </row>
    <row r="37" spans="1:12" ht="20.149999999999999" customHeight="1" x14ac:dyDescent="0.25">
      <c r="A37" s="178"/>
      <c r="B37" s="187" t="s">
        <v>124</v>
      </c>
      <c r="C37" s="187"/>
      <c r="D37" s="183">
        <f>+F37</f>
        <v>0</v>
      </c>
      <c r="E37" s="184"/>
      <c r="F37" s="184">
        <f>0</f>
        <v>0</v>
      </c>
      <c r="G37" s="185">
        <v>0.05</v>
      </c>
      <c r="H37" s="184"/>
      <c r="I37" s="184">
        <f>0</f>
        <v>0</v>
      </c>
      <c r="J37" s="186"/>
      <c r="K37" s="186"/>
      <c r="L37" s="186"/>
    </row>
    <row r="38" spans="1:12" ht="20.149999999999999" customHeight="1" x14ac:dyDescent="0.25">
      <c r="A38" s="178"/>
      <c r="B38" s="318" t="s">
        <v>123</v>
      </c>
      <c r="C38" s="319"/>
      <c r="D38" s="179">
        <f>SUM(E38:F38)</f>
        <v>0</v>
      </c>
      <c r="E38" s="180">
        <f>0</f>
        <v>0</v>
      </c>
      <c r="F38" s="180">
        <f>0</f>
        <v>0</v>
      </c>
      <c r="G38" s="181">
        <f>SUM(H38:I38)</f>
        <v>0</v>
      </c>
      <c r="H38" s="180">
        <f>0</f>
        <v>0</v>
      </c>
      <c r="I38" s="180">
        <f>0</f>
        <v>0</v>
      </c>
      <c r="J38" s="182"/>
      <c r="K38" s="182"/>
      <c r="L38" s="182"/>
    </row>
    <row r="39" spans="1:12" ht="20.149999999999999" customHeight="1" x14ac:dyDescent="0.25">
      <c r="A39" s="178"/>
      <c r="B39" s="318" t="s">
        <v>125</v>
      </c>
      <c r="C39" s="319"/>
      <c r="D39" s="183">
        <f>+F39</f>
        <v>0</v>
      </c>
      <c r="E39" s="184"/>
      <c r="F39" s="184">
        <f>0</f>
        <v>0</v>
      </c>
      <c r="G39" s="185">
        <f>+I39</f>
        <v>0</v>
      </c>
      <c r="H39" s="184"/>
      <c r="I39" s="184">
        <f>0</f>
        <v>0</v>
      </c>
      <c r="J39" s="186"/>
      <c r="K39" s="186"/>
      <c r="L39" s="186"/>
    </row>
    <row r="40" spans="1:12" ht="20.149999999999999" customHeight="1" x14ac:dyDescent="0.25">
      <c r="A40" s="178"/>
      <c r="B40" s="318" t="s">
        <v>127</v>
      </c>
      <c r="C40" s="320"/>
      <c r="D40" s="179">
        <f t="shared" ref="D40:D50" si="4">SUM(E40:F40)</f>
        <v>0</v>
      </c>
      <c r="E40" s="180">
        <f>0</f>
        <v>0</v>
      </c>
      <c r="F40" s="180">
        <f>0</f>
        <v>0</v>
      </c>
      <c r="G40" s="181">
        <f t="shared" ref="G40:G50" si="5">SUM(H40:I40)</f>
        <v>0</v>
      </c>
      <c r="H40" s="180">
        <f>0</f>
        <v>0</v>
      </c>
      <c r="I40" s="180">
        <f>0</f>
        <v>0</v>
      </c>
    </row>
    <row r="41" spans="1:12" ht="20.149999999999999" customHeight="1" x14ac:dyDescent="0.25">
      <c r="A41" s="178"/>
      <c r="B41" s="317" t="s">
        <v>258</v>
      </c>
      <c r="C41" s="318"/>
      <c r="D41" s="179">
        <f t="shared" si="4"/>
        <v>0</v>
      </c>
      <c r="E41" s="180">
        <f>0</f>
        <v>0</v>
      </c>
      <c r="F41" s="180">
        <f>0</f>
        <v>0</v>
      </c>
      <c r="G41" s="181">
        <f>SUM(H41:I41)</f>
        <v>648300</v>
      </c>
      <c r="H41" s="180">
        <v>0</v>
      </c>
      <c r="I41" s="180">
        <v>648300</v>
      </c>
      <c r="J41" s="188" t="s">
        <v>116</v>
      </c>
    </row>
    <row r="42" spans="1:12" ht="20.149999999999999" customHeight="1" x14ac:dyDescent="0.25">
      <c r="A42" s="178"/>
      <c r="B42" s="189" t="s">
        <v>148</v>
      </c>
      <c r="C42" s="190"/>
      <c r="D42" s="179">
        <f t="shared" si="4"/>
        <v>200000</v>
      </c>
      <c r="E42" s="180">
        <v>0</v>
      </c>
      <c r="F42" s="180">
        <v>200000</v>
      </c>
      <c r="G42" s="181">
        <f t="shared" si="5"/>
        <v>400000</v>
      </c>
      <c r="H42" s="180">
        <f>0</f>
        <v>0</v>
      </c>
      <c r="I42" s="180">
        <v>400000</v>
      </c>
    </row>
    <row r="43" spans="1:12" ht="20.149999999999999" customHeight="1" x14ac:dyDescent="0.25">
      <c r="A43" s="178"/>
      <c r="B43" s="189" t="s">
        <v>149</v>
      </c>
      <c r="C43" s="190"/>
      <c r="D43" s="179">
        <f t="shared" si="4"/>
        <v>0</v>
      </c>
      <c r="E43" s="180">
        <f>0</f>
        <v>0</v>
      </c>
      <c r="F43" s="180">
        <v>0</v>
      </c>
      <c r="G43" s="181">
        <f t="shared" si="5"/>
        <v>0</v>
      </c>
      <c r="H43" s="180">
        <f>0</f>
        <v>0</v>
      </c>
      <c r="I43" s="180">
        <v>0</v>
      </c>
    </row>
    <row r="44" spans="1:12" ht="20.149999999999999" customHeight="1" x14ac:dyDescent="0.25">
      <c r="A44" s="178"/>
      <c r="B44" s="317" t="s">
        <v>150</v>
      </c>
      <c r="C44" s="318"/>
      <c r="D44" s="179">
        <f t="shared" si="4"/>
        <v>0</v>
      </c>
      <c r="E44" s="180">
        <f>0</f>
        <v>0</v>
      </c>
      <c r="F44" s="180">
        <f>0</f>
        <v>0</v>
      </c>
      <c r="G44" s="181">
        <f t="shared" si="5"/>
        <v>0</v>
      </c>
      <c r="H44" s="180">
        <f>0</f>
        <v>0</v>
      </c>
      <c r="I44" s="180">
        <f>0</f>
        <v>0</v>
      </c>
    </row>
    <row r="45" spans="1:12" ht="20.149999999999999" customHeight="1" x14ac:dyDescent="0.25">
      <c r="A45" s="178"/>
      <c r="B45" s="318" t="s">
        <v>261</v>
      </c>
      <c r="C45" s="320"/>
      <c r="D45" s="179">
        <f>SUM(E45:F45)</f>
        <v>415907</v>
      </c>
      <c r="E45" s="180">
        <v>0</v>
      </c>
      <c r="F45" s="180">
        <v>415907</v>
      </c>
      <c r="G45" s="181">
        <f t="shared" si="5"/>
        <v>415907</v>
      </c>
      <c r="H45" s="180">
        <v>0</v>
      </c>
      <c r="I45" s="180">
        <v>415907</v>
      </c>
    </row>
    <row r="46" spans="1:12" s="232" customFormat="1" ht="20.149999999999999" customHeight="1" x14ac:dyDescent="0.25">
      <c r="A46" s="228"/>
      <c r="B46" s="230" t="s">
        <v>262</v>
      </c>
      <c r="C46" s="231"/>
      <c r="D46" s="179">
        <f>SUM(E46:F46)</f>
        <v>675300</v>
      </c>
      <c r="E46" s="233">
        <v>156684</v>
      </c>
      <c r="F46" s="233">
        <v>518616</v>
      </c>
      <c r="G46" s="181">
        <f t="shared" si="5"/>
        <v>675300</v>
      </c>
      <c r="H46" s="233">
        <v>0</v>
      </c>
      <c r="I46" s="233">
        <v>675300</v>
      </c>
    </row>
    <row r="47" spans="1:12" s="244" customFormat="1" ht="20.149999999999999" customHeight="1" x14ac:dyDescent="0.25">
      <c r="A47" s="228"/>
      <c r="B47" s="242" t="s">
        <v>265</v>
      </c>
      <c r="C47" s="243"/>
      <c r="D47" s="179"/>
      <c r="E47" s="233"/>
      <c r="F47" s="233"/>
      <c r="G47" s="181">
        <f t="shared" si="5"/>
        <v>402408</v>
      </c>
      <c r="H47" s="233"/>
      <c r="I47" s="233">
        <v>402408</v>
      </c>
    </row>
    <row r="48" spans="1:12" s="227" customFormat="1" ht="20.149999999999999" customHeight="1" x14ac:dyDescent="0.25">
      <c r="A48" s="228"/>
      <c r="B48" s="225" t="s">
        <v>256</v>
      </c>
      <c r="C48" s="226"/>
      <c r="D48" s="179">
        <f>SUM(E48:F48)</f>
        <v>179302</v>
      </c>
      <c r="E48" s="180">
        <v>0</v>
      </c>
      <c r="F48" s="180">
        <v>179302</v>
      </c>
      <c r="G48" s="181">
        <f>SUM(H48:I48)</f>
        <v>179302</v>
      </c>
      <c r="H48" s="180">
        <v>0</v>
      </c>
      <c r="I48" s="180">
        <v>179302</v>
      </c>
    </row>
    <row r="49" spans="1:11" ht="20.149999999999999" customHeight="1" x14ac:dyDescent="0.25">
      <c r="A49" s="178"/>
      <c r="B49" s="317" t="s">
        <v>151</v>
      </c>
      <c r="C49" s="318"/>
      <c r="D49" s="179">
        <f t="shared" ref="D49" si="6">SUM(E49:F49)</f>
        <v>0</v>
      </c>
      <c r="E49" s="180">
        <f>0</f>
        <v>0</v>
      </c>
      <c r="F49" s="180">
        <f>0</f>
        <v>0</v>
      </c>
      <c r="G49" s="181">
        <f t="shared" ref="G49" si="7">SUM(H49:I49)</f>
        <v>0</v>
      </c>
      <c r="H49" s="180">
        <f>0</f>
        <v>0</v>
      </c>
      <c r="I49" s="180"/>
    </row>
    <row r="50" spans="1:11" ht="20.149999999999999" customHeight="1" x14ac:dyDescent="0.25">
      <c r="A50" s="178"/>
      <c r="B50" s="317" t="s">
        <v>152</v>
      </c>
      <c r="C50" s="318"/>
      <c r="D50" s="179">
        <f t="shared" si="4"/>
        <v>0</v>
      </c>
      <c r="E50" s="180">
        <v>0</v>
      </c>
      <c r="F50" s="180"/>
      <c r="G50" s="181">
        <f t="shared" si="5"/>
        <v>0</v>
      </c>
      <c r="H50" s="180">
        <f>0</f>
        <v>0</v>
      </c>
      <c r="I50" s="180">
        <f>0</f>
        <v>0</v>
      </c>
    </row>
    <row r="51" spans="1:11" ht="20.149999999999999" customHeight="1" x14ac:dyDescent="0.25">
      <c r="A51" s="191"/>
      <c r="B51" s="322" t="s">
        <v>2</v>
      </c>
      <c r="C51" s="323"/>
      <c r="D51" s="212">
        <f>SUM(D41:D50,D31,D32,D34,D36,D38,D40)</f>
        <v>1695509</v>
      </c>
      <c r="E51" s="212">
        <f>SUM(E41:E50,E31,E32,E34,E36,E38,E40)</f>
        <v>356684</v>
      </c>
      <c r="F51" s="212">
        <f>SUM(F41:F50,F31,F32,F34,F36,F38,F40)</f>
        <v>1338825</v>
      </c>
      <c r="G51" s="213">
        <f>SUM(G40:G50,G31,G32,G34,G36,G38)</f>
        <v>4391943</v>
      </c>
      <c r="H51" s="214">
        <f>SUM(H40:H50,H31,H32,H34,H36,H38)</f>
        <v>200000</v>
      </c>
      <c r="I51" s="212">
        <f>SUM(I41:I50,I31,I32,I34,I36,I38,I40)</f>
        <v>4191943</v>
      </c>
    </row>
    <row r="52" spans="1:11" x14ac:dyDescent="0.25">
      <c r="B52" s="192" t="s">
        <v>1</v>
      </c>
      <c r="C52" s="193"/>
      <c r="D52" s="193"/>
      <c r="E52" s="193"/>
      <c r="F52" s="193"/>
    </row>
    <row r="53" spans="1:11" ht="13" x14ac:dyDescent="0.3">
      <c r="B53" s="316" t="s">
        <v>120</v>
      </c>
      <c r="C53" s="316"/>
      <c r="D53" s="316"/>
      <c r="E53" s="316"/>
      <c r="F53" s="316"/>
      <c r="G53" s="316"/>
      <c r="H53" s="316"/>
      <c r="I53" s="316"/>
    </row>
    <row r="54" spans="1:11" ht="15.75" customHeight="1" x14ac:dyDescent="0.3">
      <c r="B54" s="245" t="s">
        <v>269</v>
      </c>
      <c r="C54" s="245"/>
      <c r="D54" s="245"/>
      <c r="E54" s="245"/>
      <c r="F54" s="245"/>
      <c r="G54" s="245"/>
      <c r="H54" s="245"/>
      <c r="I54" s="245"/>
    </row>
    <row r="55" spans="1:11" ht="13" x14ac:dyDescent="0.3">
      <c r="B55" s="209" t="s">
        <v>255</v>
      </c>
      <c r="C55" s="209"/>
      <c r="D55" s="209"/>
      <c r="E55" s="209"/>
      <c r="F55" s="209"/>
      <c r="G55" s="209"/>
      <c r="H55" s="209"/>
      <c r="I55" s="209"/>
    </row>
    <row r="56" spans="1:11" ht="13" x14ac:dyDescent="0.3">
      <c r="B56" s="203" t="s">
        <v>260</v>
      </c>
      <c r="C56" s="194"/>
      <c r="D56" s="194"/>
      <c r="E56" s="194"/>
      <c r="F56" s="194"/>
      <c r="G56" s="194"/>
      <c r="H56" s="194"/>
      <c r="I56" s="194"/>
    </row>
    <row r="57" spans="1:11" ht="15.5" x14ac:dyDescent="0.35">
      <c r="B57" s="203" t="s">
        <v>259</v>
      </c>
      <c r="C57" s="194"/>
      <c r="D57" s="194"/>
      <c r="E57" s="194"/>
      <c r="F57" s="194"/>
      <c r="G57" s="194"/>
      <c r="H57" s="205" t="s">
        <v>236</v>
      </c>
      <c r="I57" s="203"/>
    </row>
    <row r="58" spans="1:11" ht="15.5" x14ac:dyDescent="0.35">
      <c r="B58" s="229" t="s">
        <v>263</v>
      </c>
      <c r="H58" s="306" t="s">
        <v>235</v>
      </c>
      <c r="I58" s="307"/>
      <c r="J58" s="313" t="s">
        <v>246</v>
      </c>
      <c r="K58" s="313"/>
    </row>
    <row r="59" spans="1:11" ht="15.5" x14ac:dyDescent="0.25">
      <c r="H59" s="204" t="s">
        <v>133</v>
      </c>
      <c r="I59" s="204" t="s">
        <v>134</v>
      </c>
      <c r="J59" s="206" t="s">
        <v>133</v>
      </c>
      <c r="K59" s="206" t="s">
        <v>134</v>
      </c>
    </row>
    <row r="60" spans="1:11" ht="15.5" x14ac:dyDescent="0.35">
      <c r="H60" s="210">
        <f>'2-Tuit &amp; Oth NGF Rev'!D22-'2-Tuit &amp; Oth NGF Rev'!C22-'3-Academic-Financial'!F51</f>
        <v>0.29799999296665192</v>
      </c>
      <c r="I60" s="210">
        <f>'2-Tuit &amp; Oth NGF Rev'!E22-'2-Tuit &amp; Oth NGF Rev'!D22-'3-Academic-Financial'!I51</f>
        <v>-1.2979999929666519</v>
      </c>
      <c r="J60" s="207"/>
      <c r="K60" s="207"/>
    </row>
    <row r="62" spans="1:11" x14ac:dyDescent="0.25">
      <c r="B62" s="321"/>
      <c r="C62" s="321"/>
      <c r="D62" s="321"/>
      <c r="E62" s="321"/>
      <c r="F62" s="321"/>
    </row>
  </sheetData>
  <sheetProtection insertRows="0" selectLockedCells="1" selectUnlockedCells="1"/>
  <mergeCells count="36">
    <mergeCell ref="A28:K28"/>
    <mergeCell ref="B33:C33"/>
    <mergeCell ref="G29:I29"/>
    <mergeCell ref="B30:C30"/>
    <mergeCell ref="B38:C38"/>
    <mergeCell ref="B32:C32"/>
    <mergeCell ref="K29:L29"/>
    <mergeCell ref="B62:F62"/>
    <mergeCell ref="B44:C44"/>
    <mergeCell ref="B51:C51"/>
    <mergeCell ref="B49:C49"/>
    <mergeCell ref="B45:C45"/>
    <mergeCell ref="H58:I58"/>
    <mergeCell ref="D29:F29"/>
    <mergeCell ref="B29:C29"/>
    <mergeCell ref="J58:K58"/>
    <mergeCell ref="B31:C31"/>
    <mergeCell ref="B53:I53"/>
    <mergeCell ref="B50:C50"/>
    <mergeCell ref="B39:C39"/>
    <mergeCell ref="B41:C41"/>
    <mergeCell ref="B40:C40"/>
    <mergeCell ref="A24:K24"/>
    <mergeCell ref="J25:K25"/>
    <mergeCell ref="A4:K5"/>
    <mergeCell ref="A2:I2"/>
    <mergeCell ref="A6:A10"/>
    <mergeCell ref="B6:K6"/>
    <mergeCell ref="B8:B10"/>
    <mergeCell ref="D9:F9"/>
    <mergeCell ref="G9:I9"/>
    <mergeCell ref="D7:I7"/>
    <mergeCell ref="K8:K10"/>
    <mergeCell ref="J8:J10"/>
    <mergeCell ref="D8:I8"/>
    <mergeCell ref="C8:C10"/>
  </mergeCells>
  <phoneticPr fontId="10" type="noConversion"/>
  <pageMargins left="0.7" right="0.45" top="0.25" bottom="0.5" header="0" footer="0.15"/>
  <pageSetup scale="39" fitToHeight="0" orientation="landscape" horizontalDpi="1200" verticalDpi="1200" r:id="rId1"/>
  <headerFooter>
    <oddFooter>&amp;L2017 Six-Year Plan - Academic-Financial Plan&amp;C&amp;P of &amp;N&amp;RSCHEV - 5/23/17</oddFooter>
  </headerFooter>
  <ignoredErrors>
    <ignoredError sqref="G11:G16 G50 D33:D39 G42:G45 G38:G40 G18:G2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80" zoomScaleNormal="80" workbookViewId="0"/>
  </sheetViews>
  <sheetFormatPr defaultColWidth="9.1796875" defaultRowHeight="12.5" x14ac:dyDescent="0.25"/>
  <cols>
    <col min="1" max="1" width="9.1796875" style="8"/>
    <col min="2" max="2" width="50.54296875" style="8" customWidth="1"/>
    <col min="3" max="3" width="7.1796875" style="8" customWidth="1"/>
    <col min="4" max="4" width="18.54296875" style="8" customWidth="1"/>
    <col min="5" max="5" width="15.453125" style="8" customWidth="1"/>
    <col min="6" max="6" width="18.54296875" style="8" customWidth="1"/>
    <col min="7" max="7" width="16.453125" style="8" customWidth="1"/>
    <col min="8" max="8" width="41.81640625" style="8" customWidth="1"/>
    <col min="9" max="16384" width="9.1796875" style="8"/>
  </cols>
  <sheetData>
    <row r="1" spans="1:8" ht="20.149999999999999" customHeight="1" x14ac:dyDescent="0.25">
      <c r="A1" s="87" t="s">
        <v>219</v>
      </c>
      <c r="B1" s="87"/>
      <c r="C1" s="87"/>
      <c r="D1" s="87"/>
      <c r="E1" s="87"/>
      <c r="F1" s="87"/>
      <c r="G1" s="87"/>
    </row>
    <row r="2" spans="1:8" ht="20.149999999999999" customHeight="1" x14ac:dyDescent="0.25">
      <c r="A2" s="336" t="str">
        <f>'Institution ID'!C3</f>
        <v xml:space="preserve">Longwood University </v>
      </c>
      <c r="B2" s="336"/>
      <c r="C2" s="336"/>
      <c r="D2" s="336"/>
      <c r="E2" s="336"/>
      <c r="F2" s="336"/>
      <c r="G2" s="336"/>
    </row>
    <row r="3" spans="1:8" s="7" customFormat="1" ht="30" customHeight="1" x14ac:dyDescent="0.25">
      <c r="A3" s="344" t="s">
        <v>252</v>
      </c>
      <c r="B3" s="344"/>
      <c r="C3" s="344"/>
      <c r="D3" s="344"/>
      <c r="E3" s="344"/>
      <c r="F3" s="344"/>
      <c r="G3" s="344"/>
      <c r="H3" s="344"/>
    </row>
    <row r="4" spans="1:8" s="7" customFormat="1" ht="60.65" customHeight="1" thickBot="1" x14ac:dyDescent="0.3">
      <c r="A4" s="345"/>
      <c r="B4" s="345"/>
      <c r="C4" s="345"/>
      <c r="D4" s="345"/>
      <c r="E4" s="345"/>
      <c r="F4" s="345"/>
      <c r="G4" s="345"/>
      <c r="H4" s="345"/>
    </row>
    <row r="5" spans="1:8" s="3" customFormat="1" ht="20.149999999999999" customHeight="1" thickBot="1" x14ac:dyDescent="0.4">
      <c r="A5" s="337" t="s">
        <v>24</v>
      </c>
      <c r="B5" s="331" t="s">
        <v>129</v>
      </c>
      <c r="C5" s="332"/>
      <c r="D5" s="332"/>
      <c r="E5" s="332"/>
      <c r="F5" s="332"/>
      <c r="G5" s="332"/>
      <c r="H5" s="333" t="s">
        <v>130</v>
      </c>
    </row>
    <row r="6" spans="1:8" s="3" customFormat="1" ht="20.149999999999999" customHeight="1" thickBot="1" x14ac:dyDescent="0.4">
      <c r="A6" s="338"/>
      <c r="B6" s="69"/>
      <c r="C6" s="73"/>
      <c r="D6" s="331" t="s">
        <v>135</v>
      </c>
      <c r="E6" s="332"/>
      <c r="F6" s="332"/>
      <c r="G6" s="332"/>
      <c r="H6" s="334"/>
    </row>
    <row r="7" spans="1:8" s="3" customFormat="1" ht="20.149999999999999" customHeight="1" thickBot="1" x14ac:dyDescent="0.4">
      <c r="A7" s="338"/>
      <c r="B7" s="333" t="s">
        <v>162</v>
      </c>
      <c r="C7" s="341" t="s">
        <v>121</v>
      </c>
      <c r="D7" s="332"/>
      <c r="E7" s="332"/>
      <c r="F7" s="332"/>
      <c r="G7" s="332"/>
      <c r="H7" s="334"/>
    </row>
    <row r="8" spans="1:8" s="3" customFormat="1" ht="20.149999999999999" customHeight="1" thickBot="1" x14ac:dyDescent="0.4">
      <c r="A8" s="338"/>
      <c r="B8" s="334"/>
      <c r="C8" s="342"/>
      <c r="D8" s="331" t="s">
        <v>133</v>
      </c>
      <c r="E8" s="332"/>
      <c r="F8" s="335" t="s">
        <v>134</v>
      </c>
      <c r="G8" s="332"/>
      <c r="H8" s="334"/>
    </row>
    <row r="9" spans="1:8" s="3" customFormat="1" ht="42" customHeight="1" thickBot="1" x14ac:dyDescent="0.4">
      <c r="A9" s="339"/>
      <c r="B9" s="340"/>
      <c r="C9" s="343"/>
      <c r="D9" s="88" t="s">
        <v>118</v>
      </c>
      <c r="E9" s="89" t="s">
        <v>128</v>
      </c>
      <c r="F9" s="90" t="s">
        <v>118</v>
      </c>
      <c r="G9" s="89" t="s">
        <v>128</v>
      </c>
      <c r="H9" s="334"/>
    </row>
    <row r="10" spans="1:8" ht="38.25" customHeight="1" thickBot="1" x14ac:dyDescent="0.3">
      <c r="A10" s="67">
        <v>1</v>
      </c>
      <c r="B10" s="247" t="s">
        <v>277</v>
      </c>
      <c r="C10" s="70" t="s">
        <v>280</v>
      </c>
      <c r="D10" s="65">
        <v>675300</v>
      </c>
      <c r="E10" s="65">
        <v>675300</v>
      </c>
      <c r="F10" s="65">
        <v>675300</v>
      </c>
      <c r="G10" s="65">
        <v>675300</v>
      </c>
      <c r="H10" s="249" t="s">
        <v>283</v>
      </c>
    </row>
    <row r="11" spans="1:8" ht="52.5" customHeight="1" thickTop="1" thickBot="1" x14ac:dyDescent="0.3">
      <c r="A11" s="68">
        <v>2</v>
      </c>
      <c r="B11" s="248" t="s">
        <v>297</v>
      </c>
      <c r="C11" s="71" t="s">
        <v>276</v>
      </c>
      <c r="D11" s="66">
        <v>1900000</v>
      </c>
      <c r="E11" s="66">
        <v>1900000</v>
      </c>
      <c r="F11" s="66">
        <v>2152408</v>
      </c>
      <c r="G11" s="66">
        <v>1900000</v>
      </c>
      <c r="H11" s="249" t="s">
        <v>284</v>
      </c>
    </row>
    <row r="12" spans="1:8" ht="45.75" customHeight="1" thickTop="1" thickBot="1" x14ac:dyDescent="0.3">
      <c r="A12" s="68">
        <v>3</v>
      </c>
      <c r="B12" s="248" t="s">
        <v>296</v>
      </c>
      <c r="C12" s="71" t="s">
        <v>276</v>
      </c>
      <c r="D12" s="246">
        <v>393700</v>
      </c>
      <c r="E12" s="246">
        <v>393700</v>
      </c>
      <c r="F12" s="246">
        <v>393700</v>
      </c>
      <c r="G12" s="246">
        <v>393700</v>
      </c>
      <c r="H12" s="249" t="s">
        <v>285</v>
      </c>
    </row>
    <row r="13" spans="1:8" ht="42" customHeight="1" thickTop="1" thickBot="1" x14ac:dyDescent="0.3">
      <c r="A13" s="68">
        <v>4</v>
      </c>
      <c r="B13" s="248" t="s">
        <v>298</v>
      </c>
      <c r="C13" s="71" t="s">
        <v>281</v>
      </c>
      <c r="D13" s="246">
        <v>370000</v>
      </c>
      <c r="E13" s="246">
        <v>370000</v>
      </c>
      <c r="F13" s="246">
        <v>370000</v>
      </c>
      <c r="G13" s="246">
        <v>370000</v>
      </c>
      <c r="H13" s="249" t="s">
        <v>286</v>
      </c>
    </row>
    <row r="14" spans="1:8" ht="39" customHeight="1" thickTop="1" thickBot="1" x14ac:dyDescent="0.3">
      <c r="A14" s="68">
        <v>5</v>
      </c>
      <c r="B14" s="248" t="s">
        <v>278</v>
      </c>
      <c r="C14" s="71" t="s">
        <v>276</v>
      </c>
      <c r="D14" s="246">
        <v>100000</v>
      </c>
      <c r="E14" s="246">
        <v>0</v>
      </c>
      <c r="F14" s="246">
        <v>450000</v>
      </c>
      <c r="G14" s="246">
        <v>350000</v>
      </c>
      <c r="H14" s="249" t="s">
        <v>287</v>
      </c>
    </row>
    <row r="15" spans="1:8" ht="30.75" customHeight="1" thickTop="1" thickBot="1" x14ac:dyDescent="0.3">
      <c r="A15" s="68">
        <v>6</v>
      </c>
      <c r="B15" s="248" t="s">
        <v>279</v>
      </c>
      <c r="C15" s="71" t="s">
        <v>282</v>
      </c>
      <c r="D15" s="78">
        <v>150000</v>
      </c>
      <c r="E15" s="78">
        <v>150000</v>
      </c>
      <c r="F15" s="78">
        <v>300000</v>
      </c>
      <c r="G15" s="78">
        <v>150000</v>
      </c>
      <c r="H15" s="249" t="s">
        <v>288</v>
      </c>
    </row>
    <row r="16" spans="1:8" s="74" customFormat="1" ht="16" thickTop="1" x14ac:dyDescent="0.25">
      <c r="A16" s="42"/>
      <c r="B16" s="42"/>
      <c r="C16" s="75"/>
      <c r="D16" s="72">
        <f t="shared" ref="D16:G16" si="0">SUM(D10:D15)</f>
        <v>3589000</v>
      </c>
      <c r="E16" s="76">
        <f t="shared" si="0"/>
        <v>3489000</v>
      </c>
      <c r="F16" s="77">
        <f t="shared" si="0"/>
        <v>4341408</v>
      </c>
      <c r="G16" s="76">
        <f t="shared" si="0"/>
        <v>3839000</v>
      </c>
      <c r="H16" s="42"/>
    </row>
    <row r="17" spans="2:5" x14ac:dyDescent="0.25">
      <c r="B17" s="330"/>
      <c r="C17" s="330"/>
      <c r="D17" s="330"/>
      <c r="E17" s="330"/>
    </row>
  </sheetData>
  <mergeCells count="12">
    <mergeCell ref="B17:E17"/>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1"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80" zoomScaleNormal="80" workbookViewId="0"/>
  </sheetViews>
  <sheetFormatPr defaultColWidth="9.1796875" defaultRowHeight="12.5" x14ac:dyDescent="0.25"/>
  <cols>
    <col min="1" max="1" width="31.1796875" style="16" customWidth="1"/>
    <col min="2" max="5" width="17.54296875" style="16" customWidth="1"/>
    <col min="6" max="8" width="15.54296875" style="16" customWidth="1"/>
    <col min="9" max="9" width="10.81640625" style="16" bestFit="1" customWidth="1"/>
    <col min="10" max="11" width="9.1796875" style="16"/>
    <col min="12" max="12" width="11.1796875" style="16" bestFit="1" customWidth="1"/>
    <col min="13" max="16384" width="9.1796875" style="16"/>
  </cols>
  <sheetData>
    <row r="1" spans="1:10" s="12" customFormat="1" ht="20.149999999999999" customHeight="1" x14ac:dyDescent="0.25">
      <c r="A1" s="86" t="s">
        <v>153</v>
      </c>
      <c r="B1" s="86"/>
      <c r="C1" s="86"/>
      <c r="D1" s="86"/>
      <c r="E1" s="86"/>
    </row>
    <row r="2" spans="1:10" s="12" customFormat="1" ht="20.149999999999999" customHeight="1" x14ac:dyDescent="0.25">
      <c r="A2" s="362" t="str">
        <f>'Institution ID'!C3</f>
        <v xml:space="preserve">Longwood University </v>
      </c>
      <c r="B2" s="362"/>
      <c r="C2" s="362"/>
      <c r="D2" s="362"/>
      <c r="E2" s="362"/>
    </row>
    <row r="3" spans="1:10" s="10" customFormat="1" ht="70.5" customHeight="1" x14ac:dyDescent="0.25">
      <c r="A3" s="370" t="s">
        <v>163</v>
      </c>
      <c r="B3" s="371"/>
      <c r="C3" s="371"/>
      <c r="D3" s="371"/>
      <c r="E3" s="371"/>
      <c r="F3" s="371"/>
      <c r="G3" s="371"/>
      <c r="H3" s="371"/>
    </row>
    <row r="4" spans="1:10" s="10" customFormat="1" ht="41.5" customHeight="1" x14ac:dyDescent="0.25">
      <c r="A4" s="370" t="s">
        <v>225</v>
      </c>
      <c r="B4" s="371"/>
      <c r="C4" s="371"/>
      <c r="D4" s="371"/>
      <c r="E4" s="371"/>
      <c r="F4" s="371"/>
      <c r="G4" s="371"/>
      <c r="H4" s="371"/>
    </row>
    <row r="5" spans="1:10" s="17" customFormat="1" ht="38.15" customHeight="1" x14ac:dyDescent="0.25">
      <c r="A5" s="372" t="s">
        <v>113</v>
      </c>
      <c r="B5" s="373"/>
      <c r="C5" s="373"/>
      <c r="D5" s="373"/>
      <c r="E5" s="373"/>
      <c r="F5" s="373"/>
      <c r="G5" s="373"/>
      <c r="H5" s="373"/>
    </row>
    <row r="6" spans="1:10" s="17" customFormat="1" ht="20.149999999999999" customHeight="1" x14ac:dyDescent="0.4">
      <c r="A6" s="374" t="s">
        <v>20</v>
      </c>
      <c r="B6" s="375"/>
      <c r="C6" s="375"/>
      <c r="D6" s="375"/>
      <c r="E6" s="375"/>
      <c r="F6" s="375"/>
      <c r="G6" s="119"/>
      <c r="H6" s="119"/>
    </row>
    <row r="7" spans="1:10" s="17" customFormat="1" ht="15" customHeight="1" x14ac:dyDescent="0.25">
      <c r="A7" s="356" t="s">
        <v>224</v>
      </c>
      <c r="B7" s="356"/>
      <c r="C7" s="356"/>
      <c r="D7" s="356"/>
      <c r="E7" s="356"/>
      <c r="F7" s="356"/>
      <c r="G7" s="356"/>
      <c r="H7" s="356"/>
    </row>
    <row r="8" spans="1:10" s="17" customFormat="1" ht="15" customHeight="1" x14ac:dyDescent="0.25">
      <c r="A8" s="357" t="s">
        <v>21</v>
      </c>
      <c r="B8" s="348" t="s">
        <v>214</v>
      </c>
      <c r="C8" s="348" t="s">
        <v>154</v>
      </c>
      <c r="D8" s="359" t="s">
        <v>114</v>
      </c>
      <c r="E8" s="348" t="s">
        <v>22</v>
      </c>
      <c r="F8" s="348" t="s">
        <v>75</v>
      </c>
      <c r="G8" s="366" t="s">
        <v>220</v>
      </c>
      <c r="H8" s="349" t="s">
        <v>223</v>
      </c>
    </row>
    <row r="9" spans="1:10" s="17" customFormat="1" ht="16.399999999999999" customHeight="1" thickBot="1" x14ac:dyDescent="0.3">
      <c r="A9" s="357"/>
      <c r="B9" s="349"/>
      <c r="C9" s="349"/>
      <c r="D9" s="359"/>
      <c r="E9" s="349"/>
      <c r="F9" s="349"/>
      <c r="G9" s="367"/>
      <c r="H9" s="349"/>
    </row>
    <row r="10" spans="1:10" s="17" customFormat="1" ht="16.399999999999999" customHeight="1" x14ac:dyDescent="0.25">
      <c r="A10" s="357"/>
      <c r="B10" s="350"/>
      <c r="C10" s="350"/>
      <c r="D10" s="359"/>
      <c r="E10" s="350"/>
      <c r="F10" s="350"/>
      <c r="G10" s="368"/>
      <c r="H10" s="350"/>
      <c r="I10" s="363" t="s">
        <v>221</v>
      </c>
      <c r="J10" s="353"/>
    </row>
    <row r="11" spans="1:10" s="17" customFormat="1" ht="16.399999999999999" customHeight="1" thickBot="1" x14ac:dyDescent="0.3">
      <c r="A11" s="358"/>
      <c r="B11" s="351"/>
      <c r="C11" s="351"/>
      <c r="D11" s="360"/>
      <c r="E11" s="351"/>
      <c r="F11" s="351"/>
      <c r="G11" s="369"/>
      <c r="H11" s="351"/>
      <c r="I11" s="364" t="s">
        <v>222</v>
      </c>
      <c r="J11" s="355"/>
    </row>
    <row r="12" spans="1:10" s="17" customFormat="1" ht="16.399999999999999" customHeight="1" x14ac:dyDescent="0.35">
      <c r="A12" s="55" t="s">
        <v>97</v>
      </c>
      <c r="B12" s="60">
        <f>+'2-Tuit &amp; Oth NGF Rev'!B7</f>
        <v>27265595</v>
      </c>
      <c r="C12" s="56">
        <v>2894480.64</v>
      </c>
      <c r="D12" s="120">
        <f>IF(C12=0,"%",C12/B12)</f>
        <v>0.10615871907434993</v>
      </c>
      <c r="E12" s="56">
        <v>2894480.64</v>
      </c>
      <c r="F12" s="56">
        <v>1870528</v>
      </c>
      <c r="G12" s="126">
        <v>486194.91</v>
      </c>
      <c r="H12" s="128">
        <f>B12+F12+G12</f>
        <v>29622317.91</v>
      </c>
      <c r="I12" s="121">
        <f>(C12+C14+C16)-(E12+E14+E16)</f>
        <v>0</v>
      </c>
      <c r="J12" s="122" t="str">
        <f>IF(I12&gt;0,"WARNING: IS subsidizing OS","Compliant")</f>
        <v>Compliant</v>
      </c>
    </row>
    <row r="13" spans="1:10" s="17" customFormat="1" ht="15" customHeight="1" x14ac:dyDescent="0.35">
      <c r="A13" s="57" t="s">
        <v>98</v>
      </c>
      <c r="B13" s="61">
        <f>+'2-Tuit &amp; Oth NGF Rev'!B8</f>
        <v>4601077</v>
      </c>
      <c r="C13" s="56">
        <v>699147</v>
      </c>
      <c r="D13" s="120">
        <f>IF(C13=0,"%",C13/B13)</f>
        <v>0.15195290146198379</v>
      </c>
      <c r="E13" s="56">
        <v>699147</v>
      </c>
      <c r="F13" s="56">
        <v>313721</v>
      </c>
      <c r="G13" s="126">
        <v>29908.83</v>
      </c>
      <c r="H13" s="129">
        <f t="shared" ref="H13:H17" si="0">B13+F13+G13</f>
        <v>4944706.83</v>
      </c>
    </row>
    <row r="14" spans="1:10" s="17" customFormat="1" ht="15" customHeight="1" x14ac:dyDescent="0.35">
      <c r="A14" s="57" t="s">
        <v>99</v>
      </c>
      <c r="B14" s="61">
        <f>+'2-Tuit &amp; Oth NGF Rev'!B9</f>
        <v>5185576</v>
      </c>
      <c r="C14" s="56">
        <v>0</v>
      </c>
      <c r="D14" s="120" t="str">
        <f t="shared" ref="D14:D18" si="1">IF(C14=0,"%",C14/B14)</f>
        <v>%</v>
      </c>
      <c r="E14" s="56">
        <v>0</v>
      </c>
      <c r="F14" s="56">
        <f>0</f>
        <v>0</v>
      </c>
      <c r="G14" s="126">
        <v>89785.33</v>
      </c>
      <c r="H14" s="129">
        <f t="shared" si="0"/>
        <v>5275361.33</v>
      </c>
    </row>
    <row r="15" spans="1:10" s="17" customFormat="1" ht="15" customHeight="1" x14ac:dyDescent="0.35">
      <c r="A15" s="57" t="s">
        <v>100</v>
      </c>
      <c r="B15" s="61">
        <f>+'2-Tuit &amp; Oth NGF Rev'!B10</f>
        <v>904246</v>
      </c>
      <c r="C15" s="56">
        <v>3000</v>
      </c>
      <c r="D15" s="120">
        <f t="shared" si="1"/>
        <v>3.3176812504561812E-3</v>
      </c>
      <c r="E15" s="56">
        <v>3000</v>
      </c>
      <c r="F15" s="56">
        <f>0</f>
        <v>0</v>
      </c>
      <c r="G15" s="126">
        <v>133774.67000000001</v>
      </c>
      <c r="H15" s="129">
        <f t="shared" si="0"/>
        <v>1038020.67</v>
      </c>
    </row>
    <row r="16" spans="1:10" s="17" customFormat="1" ht="15" customHeight="1" x14ac:dyDescent="0.35">
      <c r="A16" s="57" t="s">
        <v>111</v>
      </c>
      <c r="B16" s="61">
        <f>+SUM('2-Tuit &amp; Oth NGF Rev'!B11+'2-Tuit &amp; Oth NGF Rev'!B13+'2-Tuit &amp; Oth NGF Rev'!B15+'2-Tuit &amp; Oth NGF Rev'!B17+'2-Tuit &amp; Oth NGF Rev'!B19)</f>
        <v>0</v>
      </c>
      <c r="C16" s="56">
        <v>0</v>
      </c>
      <c r="D16" s="120" t="str">
        <f t="shared" si="1"/>
        <v>%</v>
      </c>
      <c r="E16" s="56">
        <v>0</v>
      </c>
      <c r="F16" s="56">
        <f>0</f>
        <v>0</v>
      </c>
      <c r="G16" s="126">
        <f>0</f>
        <v>0</v>
      </c>
      <c r="H16" s="129">
        <f t="shared" si="0"/>
        <v>0</v>
      </c>
    </row>
    <row r="17" spans="1:11" s="17" customFormat="1" ht="15" customHeight="1" thickBot="1" x14ac:dyDescent="0.4">
      <c r="A17" s="58" t="s">
        <v>112</v>
      </c>
      <c r="B17" s="61">
        <f>+SUM('2-Tuit &amp; Oth NGF Rev'!B12+'2-Tuit &amp; Oth NGF Rev'!B14+'2-Tuit &amp; Oth NGF Rev'!B16+'2-Tuit &amp; Oth NGF Rev'!B18+'2-Tuit &amp; Oth NGF Rev'!B20)</f>
        <v>0</v>
      </c>
      <c r="C17" s="56">
        <f>0</f>
        <v>0</v>
      </c>
      <c r="D17" s="123" t="str">
        <f t="shared" si="1"/>
        <v>%</v>
      </c>
      <c r="E17" s="56">
        <f>0</f>
        <v>0</v>
      </c>
      <c r="F17" s="56">
        <f>0</f>
        <v>0</v>
      </c>
      <c r="G17" s="126">
        <f>0</f>
        <v>0</v>
      </c>
      <c r="H17" s="130">
        <f t="shared" si="0"/>
        <v>0</v>
      </c>
    </row>
    <row r="18" spans="1:11" s="17" customFormat="1" ht="15" customHeight="1" thickBot="1" x14ac:dyDescent="0.4">
      <c r="A18" s="59" t="s">
        <v>15</v>
      </c>
      <c r="B18" s="62">
        <f>SUM(B12:B17)</f>
        <v>37956494</v>
      </c>
      <c r="C18" s="62">
        <f>SUM(C12:C17)</f>
        <v>3596627.64</v>
      </c>
      <c r="D18" s="124">
        <f t="shared" si="1"/>
        <v>9.4756582101602954E-2</v>
      </c>
      <c r="E18" s="62">
        <f t="shared" ref="E18:G18" si="2">SUM(E12:E17)</f>
        <v>3596627.64</v>
      </c>
      <c r="F18" s="62">
        <f t="shared" si="2"/>
        <v>2184249</v>
      </c>
      <c r="G18" s="62">
        <f t="shared" si="2"/>
        <v>739663.74</v>
      </c>
      <c r="H18" s="127">
        <f t="shared" ref="H18" si="3">SUM(H12:H17)</f>
        <v>40880406.740000002</v>
      </c>
    </row>
    <row r="19" spans="1:11" s="17" customFormat="1" ht="15" customHeight="1" x14ac:dyDescent="0.25">
      <c r="A19" s="365"/>
      <c r="B19" s="365"/>
      <c r="C19" s="365"/>
      <c r="D19" s="365"/>
      <c r="E19" s="365"/>
    </row>
    <row r="20" spans="1:11" s="17" customFormat="1" ht="15" customHeight="1" x14ac:dyDescent="0.25">
      <c r="A20" s="356" t="s">
        <v>145</v>
      </c>
      <c r="B20" s="356"/>
      <c r="C20" s="356"/>
      <c r="D20" s="356"/>
      <c r="E20" s="356"/>
      <c r="F20" s="356"/>
      <c r="G20" s="356"/>
      <c r="H20" s="356"/>
    </row>
    <row r="21" spans="1:11" ht="15" customHeight="1" x14ac:dyDescent="0.25">
      <c r="A21" s="357" t="s">
        <v>21</v>
      </c>
      <c r="B21" s="348" t="s">
        <v>214</v>
      </c>
      <c r="C21" s="348" t="s">
        <v>154</v>
      </c>
      <c r="D21" s="359" t="s">
        <v>114</v>
      </c>
      <c r="E21" s="348" t="s">
        <v>22</v>
      </c>
      <c r="F21" s="348" t="s">
        <v>75</v>
      </c>
      <c r="G21" s="348" t="s">
        <v>220</v>
      </c>
      <c r="H21" s="349" t="s">
        <v>223</v>
      </c>
    </row>
    <row r="22" spans="1:11" s="17" customFormat="1" ht="15" customHeight="1" thickBot="1" x14ac:dyDescent="0.3">
      <c r="A22" s="357"/>
      <c r="B22" s="349"/>
      <c r="C22" s="349"/>
      <c r="D22" s="359"/>
      <c r="E22" s="349"/>
      <c r="F22" s="349"/>
      <c r="G22" s="349"/>
      <c r="H22" s="349"/>
    </row>
    <row r="23" spans="1:11" s="17" customFormat="1" ht="16.399999999999999" customHeight="1" x14ac:dyDescent="0.25">
      <c r="A23" s="357"/>
      <c r="B23" s="350"/>
      <c r="C23" s="350"/>
      <c r="D23" s="359"/>
      <c r="E23" s="350"/>
      <c r="F23" s="350"/>
      <c r="G23" s="350"/>
      <c r="H23" s="350"/>
      <c r="I23" s="352" t="s">
        <v>221</v>
      </c>
      <c r="J23" s="353"/>
    </row>
    <row r="24" spans="1:11" s="17" customFormat="1" ht="16.399999999999999" customHeight="1" thickBot="1" x14ac:dyDescent="0.3">
      <c r="A24" s="358"/>
      <c r="B24" s="351"/>
      <c r="C24" s="351"/>
      <c r="D24" s="360"/>
      <c r="E24" s="351"/>
      <c r="F24" s="351"/>
      <c r="G24" s="351"/>
      <c r="H24" s="351"/>
      <c r="I24" s="354" t="s">
        <v>222</v>
      </c>
      <c r="J24" s="355"/>
    </row>
    <row r="25" spans="1:11" s="17" customFormat="1" ht="16.399999999999999" customHeight="1" x14ac:dyDescent="0.35">
      <c r="A25" s="55" t="s">
        <v>97</v>
      </c>
      <c r="B25" s="60">
        <f>+'2-Tuit &amp; Oth NGF Rev'!C7</f>
        <v>26128555</v>
      </c>
      <c r="C25" s="56">
        <v>2894480.64</v>
      </c>
      <c r="D25" s="120">
        <f t="shared" ref="D25:D31" si="4">IF(C25=0,"%",C25/B25)</f>
        <v>0.11077844297168367</v>
      </c>
      <c r="E25" s="56">
        <v>2894480.64</v>
      </c>
      <c r="F25" s="56">
        <v>1870528</v>
      </c>
      <c r="G25" s="56">
        <v>486194.91</v>
      </c>
      <c r="H25" s="128">
        <f>B25+F25+G25</f>
        <v>28485277.91</v>
      </c>
      <c r="I25" s="121">
        <f>(C25+C27+C29)-(E25+E27+E29)</f>
        <v>0</v>
      </c>
      <c r="J25" s="122" t="str">
        <f>IF(I25&gt;0,"WARNING: IS subsidizing OS","Compliant")</f>
        <v>Compliant</v>
      </c>
    </row>
    <row r="26" spans="1:11" s="17" customFormat="1" ht="16.399999999999999" customHeight="1" x14ac:dyDescent="0.35">
      <c r="A26" s="57" t="s">
        <v>98</v>
      </c>
      <c r="B26" s="61">
        <f>+'2-Tuit &amp; Oth NGF Rev'!C8</f>
        <v>3828215</v>
      </c>
      <c r="C26" s="56">
        <v>699147</v>
      </c>
      <c r="D26" s="120">
        <f t="shared" si="4"/>
        <v>0.18263002469819484</v>
      </c>
      <c r="E26" s="56">
        <v>699147</v>
      </c>
      <c r="F26" s="56">
        <v>313721</v>
      </c>
      <c r="G26" s="56">
        <v>29908.83</v>
      </c>
      <c r="H26" s="129">
        <f t="shared" ref="H26:H30" si="5">B26+F26+G26</f>
        <v>4171844.83</v>
      </c>
    </row>
    <row r="27" spans="1:11" s="17" customFormat="1" ht="15" customHeight="1" x14ac:dyDescent="0.35">
      <c r="A27" s="57" t="s">
        <v>99</v>
      </c>
      <c r="B27" s="61">
        <f>+'2-Tuit &amp; Oth NGF Rev'!C9</f>
        <v>5035174</v>
      </c>
      <c r="C27" s="56">
        <v>0</v>
      </c>
      <c r="D27" s="120" t="str">
        <f t="shared" si="4"/>
        <v>%</v>
      </c>
      <c r="E27" s="56">
        <v>0</v>
      </c>
      <c r="F27" s="56">
        <f>0</f>
        <v>0</v>
      </c>
      <c r="G27" s="56">
        <v>89785.33</v>
      </c>
      <c r="H27" s="129">
        <f t="shared" si="5"/>
        <v>5124959.33</v>
      </c>
      <c r="K27" s="239"/>
    </row>
    <row r="28" spans="1:11" s="17" customFormat="1" ht="15" customHeight="1" x14ac:dyDescent="0.35">
      <c r="A28" s="57" t="s">
        <v>100</v>
      </c>
      <c r="B28" s="61">
        <f>+'2-Tuit &amp; Oth NGF Rev'!C10</f>
        <v>829618</v>
      </c>
      <c r="C28" s="56">
        <v>3000</v>
      </c>
      <c r="D28" s="120">
        <f t="shared" si="4"/>
        <v>3.6161221188547019E-3</v>
      </c>
      <c r="E28" s="56">
        <v>3000</v>
      </c>
      <c r="F28" s="56">
        <f>0</f>
        <v>0</v>
      </c>
      <c r="G28" s="56">
        <v>133774.67000000001</v>
      </c>
      <c r="H28" s="129">
        <f t="shared" si="5"/>
        <v>963392.67</v>
      </c>
      <c r="K28" s="239"/>
    </row>
    <row r="29" spans="1:11" s="17" customFormat="1" ht="15" customHeight="1" x14ac:dyDescent="0.35">
      <c r="A29" s="57" t="s">
        <v>111</v>
      </c>
      <c r="B29" s="61">
        <f>+SUM('2-Tuit &amp; Oth NGF Rev'!C11+'2-Tuit &amp; Oth NGF Rev'!C13+'2-Tuit &amp; Oth NGF Rev'!C15+'2-Tuit &amp; Oth NGF Rev'!C17+'2-Tuit &amp; Oth NGF Rev'!C19)</f>
        <v>0</v>
      </c>
      <c r="C29" s="56">
        <v>0</v>
      </c>
      <c r="D29" s="120" t="str">
        <f t="shared" si="4"/>
        <v>%</v>
      </c>
      <c r="E29" s="56">
        <v>0</v>
      </c>
      <c r="F29" s="56">
        <f>0</f>
        <v>0</v>
      </c>
      <c r="G29" s="56">
        <f>0</f>
        <v>0</v>
      </c>
      <c r="H29" s="129">
        <f t="shared" si="5"/>
        <v>0</v>
      </c>
    </row>
    <row r="30" spans="1:11" s="17" customFormat="1" ht="15" customHeight="1" thickBot="1" x14ac:dyDescent="0.4">
      <c r="A30" s="58" t="s">
        <v>112</v>
      </c>
      <c r="B30" s="61">
        <f>+SUM('2-Tuit &amp; Oth NGF Rev'!C12+'2-Tuit &amp; Oth NGF Rev'!C14+'2-Tuit &amp; Oth NGF Rev'!C16+'2-Tuit &amp; Oth NGF Rev'!C18+'2-Tuit &amp; Oth NGF Rev'!C20)</f>
        <v>0</v>
      </c>
      <c r="C30" s="56">
        <f>0</f>
        <v>0</v>
      </c>
      <c r="D30" s="123" t="str">
        <f t="shared" si="4"/>
        <v>%</v>
      </c>
      <c r="E30" s="56">
        <f>0</f>
        <v>0</v>
      </c>
      <c r="F30" s="56">
        <f>0</f>
        <v>0</v>
      </c>
      <c r="G30" s="56">
        <f>0</f>
        <v>0</v>
      </c>
      <c r="H30" s="130">
        <f t="shared" si="5"/>
        <v>0</v>
      </c>
      <c r="K30" s="239"/>
    </row>
    <row r="31" spans="1:11" s="17" customFormat="1" ht="15" customHeight="1" thickBot="1" x14ac:dyDescent="0.4">
      <c r="A31" s="59" t="s">
        <v>15</v>
      </c>
      <c r="B31" s="64">
        <f>SUM(B25:B30)</f>
        <v>35821562</v>
      </c>
      <c r="C31" s="64">
        <f t="shared" ref="C31:H31" si="6">SUM(C25:C30)</f>
        <v>3596627.64</v>
      </c>
      <c r="D31" s="124">
        <f t="shared" si="4"/>
        <v>0.10040398685015467</v>
      </c>
      <c r="E31" s="64">
        <f t="shared" si="6"/>
        <v>3596627.64</v>
      </c>
      <c r="F31" s="62">
        <f t="shared" si="6"/>
        <v>2184249</v>
      </c>
      <c r="G31" s="62">
        <f t="shared" si="6"/>
        <v>739663.74</v>
      </c>
      <c r="H31" s="127">
        <f t="shared" si="6"/>
        <v>38745474.740000002</v>
      </c>
      <c r="K31" s="239"/>
    </row>
    <row r="32" spans="1:11" s="17" customFormat="1" ht="15" customHeight="1" x14ac:dyDescent="0.35">
      <c r="A32" s="361"/>
      <c r="B32" s="361"/>
      <c r="C32" s="361"/>
      <c r="D32" s="361"/>
      <c r="E32" s="361"/>
    </row>
    <row r="33" spans="1:12" s="17" customFormat="1" ht="15" customHeight="1" x14ac:dyDescent="0.25">
      <c r="A33" s="356" t="s">
        <v>146</v>
      </c>
      <c r="B33" s="356"/>
      <c r="C33" s="356"/>
      <c r="D33" s="356"/>
      <c r="E33" s="356"/>
      <c r="F33" s="356"/>
      <c r="G33" s="356"/>
      <c r="H33" s="356"/>
      <c r="L33" s="239"/>
    </row>
    <row r="34" spans="1:12" ht="15" customHeight="1" x14ac:dyDescent="0.25">
      <c r="A34" s="357" t="s">
        <v>21</v>
      </c>
      <c r="B34" s="348" t="s">
        <v>214</v>
      </c>
      <c r="C34" s="348" t="s">
        <v>154</v>
      </c>
      <c r="D34" s="359" t="s">
        <v>114</v>
      </c>
      <c r="E34" s="348" t="s">
        <v>22</v>
      </c>
      <c r="F34" s="348" t="s">
        <v>75</v>
      </c>
      <c r="G34" s="348" t="s">
        <v>220</v>
      </c>
      <c r="H34" s="349" t="s">
        <v>223</v>
      </c>
      <c r="L34" s="240"/>
    </row>
    <row r="35" spans="1:12" ht="12.65" customHeight="1" thickBot="1" x14ac:dyDescent="0.3">
      <c r="A35" s="357"/>
      <c r="B35" s="349"/>
      <c r="C35" s="349"/>
      <c r="D35" s="359"/>
      <c r="E35" s="349"/>
      <c r="F35" s="349"/>
      <c r="G35" s="349"/>
      <c r="H35" s="349"/>
      <c r="I35" s="17"/>
    </row>
    <row r="36" spans="1:12" s="17" customFormat="1" ht="15" customHeight="1" x14ac:dyDescent="0.25">
      <c r="A36" s="357"/>
      <c r="B36" s="350"/>
      <c r="C36" s="350"/>
      <c r="D36" s="359"/>
      <c r="E36" s="350"/>
      <c r="F36" s="350"/>
      <c r="G36" s="350"/>
      <c r="H36" s="350"/>
      <c r="I36" s="352" t="s">
        <v>221</v>
      </c>
      <c r="J36" s="353"/>
      <c r="L36" s="239"/>
    </row>
    <row r="37" spans="1:12" s="17" customFormat="1" ht="16.399999999999999" customHeight="1" thickBot="1" x14ac:dyDescent="0.3">
      <c r="A37" s="358"/>
      <c r="B37" s="351"/>
      <c r="C37" s="351"/>
      <c r="D37" s="360"/>
      <c r="E37" s="351"/>
      <c r="F37" s="351"/>
      <c r="G37" s="351"/>
      <c r="H37" s="351"/>
      <c r="I37" s="354" t="s">
        <v>222</v>
      </c>
      <c r="J37" s="355"/>
      <c r="L37" s="125"/>
    </row>
    <row r="38" spans="1:12" s="17" customFormat="1" ht="16.399999999999999" customHeight="1" x14ac:dyDescent="0.35">
      <c r="A38" s="55" t="s">
        <v>97</v>
      </c>
      <c r="B38" s="60">
        <f>+'2-Tuit &amp; Oth NGF Rev'!D7</f>
        <v>26886283.094999999</v>
      </c>
      <c r="C38" s="56">
        <f>2894480.64+200000</f>
        <v>3094480.64</v>
      </c>
      <c r="D38" s="120">
        <f t="shared" ref="D38:D44" si="7">IF(C38=0,"%",C38/B38)</f>
        <v>0.1150951445785928</v>
      </c>
      <c r="E38" s="56">
        <f>2894480.64+200000</f>
        <v>3094480.64</v>
      </c>
      <c r="F38" s="56">
        <v>1870528</v>
      </c>
      <c r="G38" s="56">
        <v>486194.91</v>
      </c>
      <c r="H38" s="128">
        <f>B38+F38+G38</f>
        <v>29243006.004999999</v>
      </c>
      <c r="I38" s="121">
        <f>(C38+C40+C42)-(E38+E40+E42)</f>
        <v>0</v>
      </c>
      <c r="J38" s="122" t="str">
        <f>IF(I38&gt;0,"WARNING: IS subsidizing OS","Compliant")</f>
        <v>Compliant</v>
      </c>
      <c r="L38" s="238"/>
    </row>
    <row r="39" spans="1:12" s="17" customFormat="1" ht="16.399999999999999" customHeight="1" x14ac:dyDescent="0.35">
      <c r="A39" s="57" t="s">
        <v>98</v>
      </c>
      <c r="B39" s="63">
        <f>+'2-Tuit &amp; Oth NGF Rev'!D8</f>
        <v>3939233.2349999999</v>
      </c>
      <c r="C39" s="56">
        <f>699147</f>
        <v>699147</v>
      </c>
      <c r="D39" s="120">
        <f t="shared" si="7"/>
        <v>0.17748301719941192</v>
      </c>
      <c r="E39" s="56">
        <f>699147</f>
        <v>699147</v>
      </c>
      <c r="F39" s="56">
        <v>313721</v>
      </c>
      <c r="G39" s="56">
        <v>29908.83</v>
      </c>
      <c r="H39" s="129">
        <f t="shared" ref="H39:H43" si="8">B39+F39+G39</f>
        <v>4282863.0649999995</v>
      </c>
      <c r="L39" s="238"/>
    </row>
    <row r="40" spans="1:12" s="17" customFormat="1" ht="16.399999999999999" customHeight="1" x14ac:dyDescent="0.35">
      <c r="A40" s="57" t="s">
        <v>99</v>
      </c>
      <c r="B40" s="63">
        <f>+'2-Tuit &amp; Oth NGF Rev'!D9</f>
        <v>5181194.0459999992</v>
      </c>
      <c r="C40" s="56">
        <v>0</v>
      </c>
      <c r="D40" s="120" t="str">
        <f t="shared" si="7"/>
        <v>%</v>
      </c>
      <c r="E40" s="56">
        <v>0</v>
      </c>
      <c r="F40" s="56">
        <f>0</f>
        <v>0</v>
      </c>
      <c r="G40" s="56">
        <v>89785.33</v>
      </c>
      <c r="H40" s="129">
        <f t="shared" si="8"/>
        <v>5270979.3759999992</v>
      </c>
    </row>
    <row r="41" spans="1:12" s="17" customFormat="1" ht="15" customHeight="1" x14ac:dyDescent="0.35">
      <c r="A41" s="57" t="s">
        <v>100</v>
      </c>
      <c r="B41" s="63">
        <f>+'2-Tuit &amp; Oth NGF Rev'!D10</f>
        <v>853676.9219999999</v>
      </c>
      <c r="C41" s="56">
        <v>3000</v>
      </c>
      <c r="D41" s="120">
        <f t="shared" si="7"/>
        <v>3.5142100280414986E-3</v>
      </c>
      <c r="E41" s="56">
        <v>3000</v>
      </c>
      <c r="F41" s="56">
        <f>0</f>
        <v>0</v>
      </c>
      <c r="G41" s="56">
        <v>133774.67000000001</v>
      </c>
      <c r="H41" s="129">
        <f t="shared" si="8"/>
        <v>987451.59199999995</v>
      </c>
    </row>
    <row r="42" spans="1:12" s="17" customFormat="1" ht="15" customHeight="1" x14ac:dyDescent="0.35">
      <c r="A42" s="57" t="s">
        <v>111</v>
      </c>
      <c r="B42" s="61">
        <f>+SUM('2-Tuit &amp; Oth NGF Rev'!D11+'2-Tuit &amp; Oth NGF Rev'!D13+'2-Tuit &amp; Oth NGF Rev'!D15+'2-Tuit &amp; Oth NGF Rev'!D17+'2-Tuit &amp; Oth NGF Rev'!D19)</f>
        <v>0</v>
      </c>
      <c r="C42" s="56">
        <v>0</v>
      </c>
      <c r="D42" s="120" t="str">
        <f t="shared" si="7"/>
        <v>%</v>
      </c>
      <c r="E42" s="56">
        <v>0</v>
      </c>
      <c r="F42" s="56">
        <f>0</f>
        <v>0</v>
      </c>
      <c r="G42" s="56">
        <f>0</f>
        <v>0</v>
      </c>
      <c r="H42" s="129">
        <f t="shared" si="8"/>
        <v>0</v>
      </c>
    </row>
    <row r="43" spans="1:12" s="17" customFormat="1" ht="15" customHeight="1" thickBot="1" x14ac:dyDescent="0.4">
      <c r="A43" s="58" t="s">
        <v>112</v>
      </c>
      <c r="B43" s="61">
        <f>+SUM('2-Tuit &amp; Oth NGF Rev'!D12+'2-Tuit &amp; Oth NGF Rev'!D14+'2-Tuit &amp; Oth NGF Rev'!D16+'2-Tuit &amp; Oth NGF Rev'!D18+'2-Tuit &amp; Oth NGF Rev'!D20)</f>
        <v>0</v>
      </c>
      <c r="C43" s="56">
        <f>0</f>
        <v>0</v>
      </c>
      <c r="D43" s="120" t="str">
        <f t="shared" si="7"/>
        <v>%</v>
      </c>
      <c r="E43" s="56">
        <f>0</f>
        <v>0</v>
      </c>
      <c r="F43" s="56">
        <f>0</f>
        <v>0</v>
      </c>
      <c r="G43" s="56">
        <f>0</f>
        <v>0</v>
      </c>
      <c r="H43" s="130">
        <f t="shared" si="8"/>
        <v>0</v>
      </c>
    </row>
    <row r="44" spans="1:12" s="17" customFormat="1" ht="15" customHeight="1" thickBot="1" x14ac:dyDescent="0.4">
      <c r="A44" s="59" t="s">
        <v>15</v>
      </c>
      <c r="B44" s="64">
        <f>SUM(B38:B43)</f>
        <v>36860387.297999993</v>
      </c>
      <c r="C44" s="64">
        <f t="shared" ref="C44:H44" si="9">SUM(C38:C43)</f>
        <v>3796627.64</v>
      </c>
      <c r="D44" s="124">
        <f t="shared" si="7"/>
        <v>0.10300021020685264</v>
      </c>
      <c r="E44" s="64">
        <f t="shared" si="9"/>
        <v>3796627.64</v>
      </c>
      <c r="F44" s="62">
        <f t="shared" si="9"/>
        <v>2184249</v>
      </c>
      <c r="G44" s="62">
        <f t="shared" si="9"/>
        <v>739663.74</v>
      </c>
      <c r="H44" s="127">
        <f t="shared" si="9"/>
        <v>39784300.038000003</v>
      </c>
    </row>
    <row r="45" spans="1:12" s="17" customFormat="1" ht="15" customHeight="1" x14ac:dyDescent="0.25">
      <c r="A45" s="346"/>
      <c r="B45" s="346"/>
      <c r="C45" s="346"/>
      <c r="D45" s="346"/>
      <c r="E45" s="346"/>
    </row>
    <row r="46" spans="1:12" s="17" customFormat="1" ht="15" customHeight="1" x14ac:dyDescent="0.25">
      <c r="A46" s="356" t="s">
        <v>147</v>
      </c>
      <c r="B46" s="356"/>
      <c r="C46" s="356"/>
      <c r="D46" s="356"/>
      <c r="E46" s="356"/>
      <c r="F46" s="356"/>
      <c r="G46" s="356"/>
      <c r="H46" s="356"/>
    </row>
    <row r="47" spans="1:12" ht="15" customHeight="1" x14ac:dyDescent="0.25">
      <c r="A47" s="357" t="s">
        <v>21</v>
      </c>
      <c r="B47" s="348" t="s">
        <v>214</v>
      </c>
      <c r="C47" s="348" t="s">
        <v>154</v>
      </c>
      <c r="D47" s="359" t="s">
        <v>114</v>
      </c>
      <c r="E47" s="348" t="s">
        <v>22</v>
      </c>
      <c r="F47" s="348" t="s">
        <v>75</v>
      </c>
      <c r="G47" s="348" t="s">
        <v>220</v>
      </c>
      <c r="H47" s="349" t="s">
        <v>223</v>
      </c>
    </row>
    <row r="48" spans="1:12" ht="15" customHeight="1" thickBot="1" x14ac:dyDescent="0.3">
      <c r="A48" s="357"/>
      <c r="B48" s="349"/>
      <c r="C48" s="349"/>
      <c r="D48" s="359"/>
      <c r="E48" s="349"/>
      <c r="F48" s="349"/>
      <c r="G48" s="349"/>
      <c r="H48" s="349"/>
      <c r="I48" s="17"/>
    </row>
    <row r="49" spans="1:10" ht="15" customHeight="1" x14ac:dyDescent="0.25">
      <c r="A49" s="357"/>
      <c r="B49" s="350"/>
      <c r="C49" s="350"/>
      <c r="D49" s="359"/>
      <c r="E49" s="350"/>
      <c r="F49" s="350"/>
      <c r="G49" s="350"/>
      <c r="H49" s="350"/>
      <c r="I49" s="352" t="s">
        <v>221</v>
      </c>
      <c r="J49" s="353"/>
    </row>
    <row r="50" spans="1:10" ht="15" customHeight="1" thickBot="1" x14ac:dyDescent="0.3">
      <c r="A50" s="358"/>
      <c r="B50" s="351"/>
      <c r="C50" s="351"/>
      <c r="D50" s="360"/>
      <c r="E50" s="351"/>
      <c r="F50" s="351"/>
      <c r="G50" s="351"/>
      <c r="H50" s="351"/>
      <c r="I50" s="354" t="s">
        <v>222</v>
      </c>
      <c r="J50" s="355"/>
    </row>
    <row r="51" spans="1:10" ht="15.5" x14ac:dyDescent="0.35">
      <c r="A51" s="55" t="s">
        <v>97</v>
      </c>
      <c r="B51" s="60">
        <f>+'2-Tuit &amp; Oth NGF Rev'!E7</f>
        <v>27665985</v>
      </c>
      <c r="C51" s="56">
        <f>2894480.64+400000</f>
        <v>3294480.64</v>
      </c>
      <c r="D51" s="120">
        <f t="shared" ref="D51:D57" si="10">IF(C51=0,"%",C51/B51)</f>
        <v>0.11908054746650083</v>
      </c>
      <c r="E51" s="56">
        <f>2894480.64+500000</f>
        <v>3394480.64</v>
      </c>
      <c r="F51" s="56">
        <v>1870528</v>
      </c>
      <c r="G51" s="56">
        <v>486194.91</v>
      </c>
      <c r="H51" s="128">
        <f>B51+F51+G51</f>
        <v>30022707.91</v>
      </c>
      <c r="I51" s="121">
        <f>(C51+C53+C55)-(E51+E53+E55)</f>
        <v>-100000</v>
      </c>
      <c r="J51" s="122" t="str">
        <f>IF(I51&gt;0,"WARNING: IS subsidizing OS","Compliant")</f>
        <v>Compliant</v>
      </c>
    </row>
    <row r="52" spans="1:10" ht="15.5" x14ac:dyDescent="0.35">
      <c r="A52" s="57" t="s">
        <v>98</v>
      </c>
      <c r="B52" s="63">
        <f>+'2-Tuit &amp; Oth NGF Rev'!E8</f>
        <v>4053471</v>
      </c>
      <c r="C52" s="56">
        <f>699147</f>
        <v>699147</v>
      </c>
      <c r="D52" s="120">
        <f t="shared" si="10"/>
        <v>0.17248106622694476</v>
      </c>
      <c r="E52" s="56">
        <f>699147</f>
        <v>699147</v>
      </c>
      <c r="F52" s="56">
        <v>313721</v>
      </c>
      <c r="G52" s="56">
        <v>29908.83</v>
      </c>
      <c r="H52" s="129">
        <f t="shared" ref="H52:H56" si="11">B52+F52+G52</f>
        <v>4397100.83</v>
      </c>
    </row>
    <row r="53" spans="1:10" ht="15.5" x14ac:dyDescent="0.35">
      <c r="A53" s="57" t="s">
        <v>99</v>
      </c>
      <c r="B53" s="63">
        <f>+'2-Tuit &amp; Oth NGF Rev'!E9</f>
        <v>8463948</v>
      </c>
      <c r="C53" s="56">
        <v>0</v>
      </c>
      <c r="D53" s="120" t="str">
        <f t="shared" si="10"/>
        <v>%</v>
      </c>
      <c r="E53" s="56">
        <v>0</v>
      </c>
      <c r="F53" s="56">
        <f>0</f>
        <v>0</v>
      </c>
      <c r="G53" s="56">
        <v>89785.33</v>
      </c>
      <c r="H53" s="129">
        <f t="shared" si="11"/>
        <v>8553733.3300000001</v>
      </c>
    </row>
    <row r="54" spans="1:10" ht="15.5" x14ac:dyDescent="0.35">
      <c r="A54" s="57" t="s">
        <v>100</v>
      </c>
      <c r="B54" s="63">
        <f>+'2-Tuit &amp; Oth NGF Rev'!E10</f>
        <v>868925</v>
      </c>
      <c r="C54" s="56">
        <v>3000</v>
      </c>
      <c r="D54" s="120">
        <f t="shared" si="10"/>
        <v>3.4525419339989068E-3</v>
      </c>
      <c r="E54" s="56">
        <v>3000</v>
      </c>
      <c r="F54" s="56">
        <f>0</f>
        <v>0</v>
      </c>
      <c r="G54" s="56">
        <v>133774.67000000001</v>
      </c>
      <c r="H54" s="129">
        <f t="shared" si="11"/>
        <v>1002699.67</v>
      </c>
    </row>
    <row r="55" spans="1:10" ht="15.5" x14ac:dyDescent="0.35">
      <c r="A55" s="57" t="s">
        <v>111</v>
      </c>
      <c r="B55" s="61">
        <f>+SUM('2-Tuit &amp; Oth NGF Rev'!E11+'2-Tuit &amp; Oth NGF Rev'!E13+'2-Tuit &amp; Oth NGF Rev'!E15+'2-Tuit &amp; Oth NGF Rev'!E17+'2-Tuit &amp; Oth NGF Rev'!E19)</f>
        <v>0</v>
      </c>
      <c r="C55" s="56">
        <v>0</v>
      </c>
      <c r="D55" s="120" t="str">
        <f t="shared" si="10"/>
        <v>%</v>
      </c>
      <c r="E55" s="56">
        <v>0</v>
      </c>
      <c r="F55" s="56">
        <f>0</f>
        <v>0</v>
      </c>
      <c r="G55" s="56">
        <f>0</f>
        <v>0</v>
      </c>
      <c r="H55" s="129">
        <f t="shared" si="11"/>
        <v>0</v>
      </c>
    </row>
    <row r="56" spans="1:10" ht="16" thickBot="1" x14ac:dyDescent="0.4">
      <c r="A56" s="58" t="s">
        <v>112</v>
      </c>
      <c r="B56" s="61">
        <f>+SUM('2-Tuit &amp; Oth NGF Rev'!E12+'2-Tuit &amp; Oth NGF Rev'!E14+'2-Tuit &amp; Oth NGF Rev'!E16+'2-Tuit &amp; Oth NGF Rev'!E18+'2-Tuit &amp; Oth NGF Rev'!E20)</f>
        <v>0</v>
      </c>
      <c r="C56" s="56">
        <f>0</f>
        <v>0</v>
      </c>
      <c r="D56" s="120" t="str">
        <f t="shared" si="10"/>
        <v>%</v>
      </c>
      <c r="E56" s="56">
        <f>0</f>
        <v>0</v>
      </c>
      <c r="F56" s="56">
        <f>0</f>
        <v>0</v>
      </c>
      <c r="G56" s="56">
        <f>0</f>
        <v>0</v>
      </c>
      <c r="H56" s="130">
        <f t="shared" si="11"/>
        <v>0</v>
      </c>
    </row>
    <row r="57" spans="1:10" ht="16" thickBot="1" x14ac:dyDescent="0.4">
      <c r="A57" s="59" t="s">
        <v>15</v>
      </c>
      <c r="B57" s="64">
        <f>SUM(B51:B56)</f>
        <v>41052329</v>
      </c>
      <c r="C57" s="64">
        <f t="shared" ref="C57:H57" si="12">SUM(C51:C56)</f>
        <v>3996627.64</v>
      </c>
      <c r="D57" s="124">
        <f t="shared" si="10"/>
        <v>9.7354467757480953E-2</v>
      </c>
      <c r="E57" s="64">
        <f t="shared" si="12"/>
        <v>4096627.64</v>
      </c>
      <c r="F57" s="62">
        <f t="shared" si="12"/>
        <v>2184249</v>
      </c>
      <c r="G57" s="62">
        <f t="shared" si="12"/>
        <v>739663.74</v>
      </c>
      <c r="H57" s="127">
        <f t="shared" si="12"/>
        <v>43976241.740000002</v>
      </c>
      <c r="I57" s="125"/>
    </row>
    <row r="59" spans="1:10" ht="65.150000000000006" customHeight="1" x14ac:dyDescent="0.25">
      <c r="A59" s="347" t="s">
        <v>122</v>
      </c>
      <c r="B59" s="347"/>
      <c r="C59" s="347"/>
      <c r="D59" s="347"/>
      <c r="E59" s="347"/>
      <c r="F59" s="347"/>
      <c r="G59" s="347"/>
      <c r="H59" s="347"/>
    </row>
  </sheetData>
  <mergeCells count="53">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8" customFormat="1" ht="20.149999999999999" customHeight="1" x14ac:dyDescent="0.45">
      <c r="A1" s="273" t="str">
        <f>'Institution ID'!A1</f>
        <v>Six-Year Plans - Part I (2021): 2022-23 through 2027-28</v>
      </c>
      <c r="B1" s="273"/>
      <c r="C1" s="273"/>
      <c r="D1" s="273"/>
      <c r="E1" s="273"/>
      <c r="F1" s="273"/>
      <c r="G1" s="273"/>
      <c r="H1" s="273"/>
      <c r="I1" s="15"/>
      <c r="J1" s="12"/>
      <c r="K1" s="12"/>
      <c r="L1" s="12"/>
      <c r="M1" s="12"/>
    </row>
    <row r="2" spans="1:13" s="8" customFormat="1" ht="20.149999999999999" customHeight="1" x14ac:dyDescent="0.25">
      <c r="A2" s="51" t="str">
        <f>'Institution ID'!C3</f>
        <v xml:space="preserve">Longwood University </v>
      </c>
      <c r="B2" s="53"/>
      <c r="C2" s="53"/>
      <c r="D2" s="53"/>
      <c r="E2" s="53"/>
      <c r="F2" s="53"/>
      <c r="G2" s="53"/>
      <c r="H2" s="53"/>
      <c r="I2" s="53"/>
      <c r="J2" s="12"/>
      <c r="K2" s="12"/>
      <c r="L2" s="12"/>
      <c r="M2" s="12"/>
    </row>
    <row r="3" spans="1:13" ht="20.149999999999999" customHeight="1" x14ac:dyDescent="0.25">
      <c r="A3" s="52" t="s">
        <v>74</v>
      </c>
      <c r="B3" s="52"/>
      <c r="C3" s="52"/>
      <c r="D3" s="52"/>
      <c r="E3" s="52"/>
      <c r="F3" s="52"/>
      <c r="G3" s="52"/>
      <c r="H3" s="52"/>
      <c r="I3" s="52"/>
    </row>
    <row r="4" spans="1:13" ht="20.149999999999999" customHeight="1" x14ac:dyDescent="0.25">
      <c r="A4" s="52" t="s">
        <v>12</v>
      </c>
      <c r="B4" s="52"/>
      <c r="C4" s="52"/>
      <c r="D4" s="52"/>
      <c r="E4" s="52"/>
      <c r="F4" s="52"/>
      <c r="G4" s="52"/>
      <c r="H4" s="52"/>
      <c r="I4" s="52"/>
    </row>
    <row r="5" spans="1:13" s="9" customFormat="1" ht="20.149999999999999" customHeight="1" thickBot="1" x14ac:dyDescent="0.4">
      <c r="A5" s="18"/>
      <c r="B5" s="18"/>
      <c r="C5" s="18"/>
      <c r="D5" s="18"/>
      <c r="E5" s="18"/>
      <c r="F5" s="18"/>
      <c r="G5" s="18"/>
      <c r="H5" s="18"/>
      <c r="I5" s="18"/>
    </row>
    <row r="6" spans="1:13" s="19" customFormat="1" ht="20.149999999999999" customHeight="1" x14ac:dyDescent="0.25">
      <c r="A6" s="442" t="s">
        <v>73</v>
      </c>
      <c r="B6" s="443"/>
      <c r="C6" s="443"/>
      <c r="D6" s="443"/>
      <c r="E6" s="443"/>
      <c r="F6" s="443"/>
      <c r="G6" s="443"/>
      <c r="H6" s="444"/>
      <c r="I6" s="25"/>
    </row>
    <row r="7" spans="1:13" s="20" customFormat="1" ht="20.149999999999999" customHeight="1" x14ac:dyDescent="0.25">
      <c r="A7" s="382" t="s">
        <v>30</v>
      </c>
      <c r="B7" s="445"/>
      <c r="C7" s="445"/>
      <c r="D7" s="445"/>
      <c r="E7" s="445"/>
      <c r="F7" s="445"/>
      <c r="G7" s="445"/>
      <c r="H7" s="376"/>
    </row>
    <row r="8" spans="1:13" s="8" customFormat="1" ht="20.149999999999999" customHeight="1" x14ac:dyDescent="0.25">
      <c r="A8" s="446" t="s">
        <v>13</v>
      </c>
      <c r="B8" s="384" t="s">
        <v>28</v>
      </c>
      <c r="C8" s="384"/>
      <c r="D8" s="384"/>
      <c r="E8" s="384" t="s">
        <v>29</v>
      </c>
      <c r="F8" s="384"/>
      <c r="G8" s="384"/>
      <c r="H8" s="417" t="s">
        <v>15</v>
      </c>
    </row>
    <row r="9" spans="1:13" s="8" customFormat="1" ht="20.149999999999999" customHeight="1" x14ac:dyDescent="0.25">
      <c r="A9" s="447"/>
      <c r="B9" s="46" t="s">
        <v>43</v>
      </c>
      <c r="C9" s="46" t="s">
        <v>44</v>
      </c>
      <c r="D9" s="46" t="s">
        <v>15</v>
      </c>
      <c r="E9" s="46" t="s">
        <v>43</v>
      </c>
      <c r="F9" s="46" t="s">
        <v>44</v>
      </c>
      <c r="G9" s="46" t="s">
        <v>15</v>
      </c>
      <c r="H9" s="418"/>
    </row>
    <row r="10" spans="1:13" s="8" customFormat="1" ht="20.149999999999999" customHeight="1" x14ac:dyDescent="0.25">
      <c r="A10" s="32" t="s">
        <v>75</v>
      </c>
      <c r="B10" s="21">
        <v>206500</v>
      </c>
      <c r="C10" s="21">
        <v>58002</v>
      </c>
      <c r="D10" s="22">
        <f>B10+C10</f>
        <v>264502</v>
      </c>
      <c r="E10" s="21">
        <v>73902</v>
      </c>
      <c r="F10" s="21">
        <v>19763</v>
      </c>
      <c r="G10" s="29">
        <f>E10+F10</f>
        <v>93665</v>
      </c>
      <c r="H10" s="31">
        <f>SUM(D10,G10)</f>
        <v>358167</v>
      </c>
    </row>
    <row r="11" spans="1:13" s="8" customFormat="1" ht="20.149999999999999" customHeight="1" x14ac:dyDescent="0.25">
      <c r="A11" s="26" t="s">
        <v>31</v>
      </c>
      <c r="B11" s="21">
        <v>0</v>
      </c>
      <c r="C11" s="21">
        <v>0</v>
      </c>
      <c r="D11" s="22">
        <f>B11+C11</f>
        <v>0</v>
      </c>
      <c r="E11" s="21">
        <v>0</v>
      </c>
      <c r="F11" s="21">
        <v>0</v>
      </c>
      <c r="G11" s="29">
        <f>E11+F11</f>
        <v>0</v>
      </c>
      <c r="H11" s="31">
        <f>SUM(D11,G11)</f>
        <v>0</v>
      </c>
    </row>
    <row r="12" spans="1:13" s="8" customFormat="1" ht="20.149999999999999" customHeight="1" x14ac:dyDescent="0.25">
      <c r="A12" s="26" t="s">
        <v>32</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49999999999999" customHeight="1" x14ac:dyDescent="0.25">
      <c r="A13" s="26" t="s">
        <v>33</v>
      </c>
      <c r="B13" s="23">
        <v>0</v>
      </c>
      <c r="C13" s="23">
        <v>0</v>
      </c>
      <c r="D13" s="24">
        <f t="shared" si="0"/>
        <v>0</v>
      </c>
      <c r="E13" s="23">
        <v>38052</v>
      </c>
      <c r="F13" s="23">
        <v>0</v>
      </c>
      <c r="G13" s="30">
        <f t="shared" si="1"/>
        <v>38052</v>
      </c>
      <c r="H13" s="31">
        <f t="shared" si="2"/>
        <v>38052</v>
      </c>
    </row>
    <row r="14" spans="1:13" s="8" customFormat="1" ht="20.149999999999999" customHeight="1" x14ac:dyDescent="0.25">
      <c r="A14" s="41" t="s">
        <v>94</v>
      </c>
      <c r="B14" s="44"/>
      <c r="C14" s="44"/>
      <c r="D14" s="44"/>
      <c r="E14" s="44"/>
      <c r="F14" s="44"/>
      <c r="G14" s="45"/>
      <c r="H14" s="45"/>
    </row>
    <row r="15" spans="1:13" s="8" customFormat="1" ht="20.149999999999999" customHeight="1" x14ac:dyDescent="0.25">
      <c r="A15" s="26" t="s">
        <v>34</v>
      </c>
      <c r="B15" s="23">
        <v>0</v>
      </c>
      <c r="C15" s="23">
        <v>0</v>
      </c>
      <c r="D15" s="24">
        <f t="shared" si="0"/>
        <v>0</v>
      </c>
      <c r="E15" s="23">
        <v>0</v>
      </c>
      <c r="F15" s="23">
        <v>0</v>
      </c>
      <c r="G15" s="30">
        <f t="shared" si="1"/>
        <v>0</v>
      </c>
      <c r="H15" s="31">
        <f t="shared" si="2"/>
        <v>0</v>
      </c>
    </row>
    <row r="16" spans="1:13" s="8" customFormat="1" ht="20.149999999999999" customHeight="1" x14ac:dyDescent="0.25">
      <c r="A16" s="26" t="s">
        <v>35</v>
      </c>
      <c r="B16" s="44"/>
      <c r="C16" s="44"/>
      <c r="D16" s="44"/>
      <c r="E16" s="44"/>
      <c r="F16" s="44"/>
      <c r="G16" s="45"/>
      <c r="H16" s="45"/>
    </row>
    <row r="17" spans="1:8" s="8" customFormat="1" ht="20.149999999999999" customHeight="1" x14ac:dyDescent="0.25">
      <c r="A17" s="26" t="s">
        <v>36</v>
      </c>
      <c r="B17" s="23">
        <v>0</v>
      </c>
      <c r="C17" s="23">
        <v>0</v>
      </c>
      <c r="D17" s="24">
        <f t="shared" si="0"/>
        <v>0</v>
      </c>
      <c r="E17" s="23">
        <v>0</v>
      </c>
      <c r="F17" s="23">
        <v>0</v>
      </c>
      <c r="G17" s="30">
        <f t="shared" si="1"/>
        <v>0</v>
      </c>
      <c r="H17" s="31">
        <f t="shared" si="2"/>
        <v>0</v>
      </c>
    </row>
    <row r="18" spans="1:8" s="8" customFormat="1" ht="20.149999999999999" customHeight="1" x14ac:dyDescent="0.25">
      <c r="A18" s="26" t="s">
        <v>14</v>
      </c>
      <c r="B18" s="23">
        <v>0</v>
      </c>
      <c r="C18" s="23">
        <v>0</v>
      </c>
      <c r="D18" s="24">
        <f t="shared" si="0"/>
        <v>0</v>
      </c>
      <c r="E18" s="23">
        <v>0</v>
      </c>
      <c r="F18" s="23">
        <v>0</v>
      </c>
      <c r="G18" s="30">
        <f t="shared" si="1"/>
        <v>0</v>
      </c>
      <c r="H18" s="31">
        <f t="shared" si="2"/>
        <v>0</v>
      </c>
    </row>
    <row r="19" spans="1:8" s="8" customFormat="1" ht="20.149999999999999" customHeight="1" x14ac:dyDescent="0.25">
      <c r="A19" s="26" t="s">
        <v>37</v>
      </c>
      <c r="B19" s="23">
        <v>0</v>
      </c>
      <c r="C19" s="23">
        <v>0</v>
      </c>
      <c r="D19" s="24">
        <f t="shared" si="0"/>
        <v>0</v>
      </c>
      <c r="E19" s="23">
        <v>0</v>
      </c>
      <c r="F19" s="23">
        <v>0</v>
      </c>
      <c r="G19" s="30">
        <f t="shared" si="1"/>
        <v>0</v>
      </c>
      <c r="H19" s="31">
        <f t="shared" si="2"/>
        <v>0</v>
      </c>
    </row>
    <row r="20" spans="1:8" s="8" customFormat="1" ht="20.149999999999999" customHeight="1" x14ac:dyDescent="0.25">
      <c r="A20" s="26" t="s">
        <v>38</v>
      </c>
      <c r="B20" s="23">
        <v>0</v>
      </c>
      <c r="C20" s="23">
        <v>0</v>
      </c>
      <c r="D20" s="24">
        <f t="shared" si="0"/>
        <v>0</v>
      </c>
      <c r="E20" s="23">
        <v>16913</v>
      </c>
      <c r="F20" s="23">
        <v>0</v>
      </c>
      <c r="G20" s="30">
        <f t="shared" si="1"/>
        <v>16913</v>
      </c>
      <c r="H20" s="31">
        <f t="shared" si="2"/>
        <v>16913</v>
      </c>
    </row>
    <row r="21" spans="1:8" s="8" customFormat="1" ht="20.149999999999999" customHeight="1" x14ac:dyDescent="0.25">
      <c r="A21" s="26" t="s">
        <v>39</v>
      </c>
      <c r="B21" s="23">
        <v>32682</v>
      </c>
      <c r="C21" s="23">
        <v>0</v>
      </c>
      <c r="D21" s="24">
        <f t="shared" si="0"/>
        <v>32682</v>
      </c>
      <c r="E21" s="23">
        <v>0</v>
      </c>
      <c r="F21" s="23">
        <v>0</v>
      </c>
      <c r="G21" s="30">
        <f t="shared" si="1"/>
        <v>0</v>
      </c>
      <c r="H21" s="31">
        <f t="shared" si="2"/>
        <v>32682</v>
      </c>
    </row>
    <row r="22" spans="1:8" s="8" customFormat="1" ht="20.149999999999999" customHeight="1" x14ac:dyDescent="0.25">
      <c r="A22" s="26" t="s">
        <v>40</v>
      </c>
      <c r="B22" s="23">
        <v>0</v>
      </c>
      <c r="C22" s="23">
        <v>0</v>
      </c>
      <c r="D22" s="24">
        <f t="shared" si="0"/>
        <v>0</v>
      </c>
      <c r="E22" s="23">
        <v>0</v>
      </c>
      <c r="F22" s="23">
        <v>0</v>
      </c>
      <c r="G22" s="30">
        <f t="shared" si="1"/>
        <v>0</v>
      </c>
      <c r="H22" s="31">
        <f t="shared" si="2"/>
        <v>0</v>
      </c>
    </row>
    <row r="23" spans="1:8" s="8" customFormat="1" ht="20.149999999999999" customHeight="1" x14ac:dyDescent="0.25">
      <c r="A23" s="26" t="s">
        <v>41</v>
      </c>
      <c r="B23" s="23">
        <v>120156</v>
      </c>
      <c r="C23" s="23">
        <v>0</v>
      </c>
      <c r="D23" s="24">
        <f t="shared" si="0"/>
        <v>120156</v>
      </c>
      <c r="E23" s="23">
        <v>0</v>
      </c>
      <c r="F23" s="23">
        <v>0</v>
      </c>
      <c r="G23" s="30">
        <f t="shared" si="1"/>
        <v>0</v>
      </c>
      <c r="H23" s="31">
        <f t="shared" si="2"/>
        <v>120156</v>
      </c>
    </row>
    <row r="24" spans="1:8" s="8" customFormat="1" ht="20.149999999999999" customHeight="1" x14ac:dyDescent="0.25">
      <c r="A24" s="50" t="s">
        <v>115</v>
      </c>
      <c r="B24" s="23">
        <v>16341</v>
      </c>
      <c r="C24" s="23">
        <v>4520</v>
      </c>
      <c r="D24" s="24">
        <f t="shared" ref="D24" si="3">B24+C24</f>
        <v>20861</v>
      </c>
      <c r="E24" s="23">
        <v>9648</v>
      </c>
      <c r="F24" s="23">
        <v>0</v>
      </c>
      <c r="G24" s="30">
        <f t="shared" ref="G24" si="4">E24+F24</f>
        <v>9648</v>
      </c>
      <c r="H24" s="31">
        <f t="shared" ref="H24" si="5">SUM(D24,G24)</f>
        <v>30509</v>
      </c>
    </row>
    <row r="25" spans="1:8" s="8" customFormat="1" ht="20.149999999999999" customHeight="1" x14ac:dyDescent="0.25">
      <c r="A25" s="26" t="s">
        <v>42</v>
      </c>
      <c r="B25" s="23">
        <v>0</v>
      </c>
      <c r="C25" s="23">
        <v>0</v>
      </c>
      <c r="D25" s="24">
        <f t="shared" si="0"/>
        <v>0</v>
      </c>
      <c r="E25" s="23">
        <v>0</v>
      </c>
      <c r="F25" s="23">
        <v>16480</v>
      </c>
      <c r="G25" s="30">
        <f t="shared" si="1"/>
        <v>16480</v>
      </c>
      <c r="H25" s="31">
        <f t="shared" si="2"/>
        <v>16480</v>
      </c>
    </row>
    <row r="26" spans="1:8" s="8" customFormat="1" ht="20.149999999999999" customHeight="1" thickBot="1" x14ac:dyDescent="0.3">
      <c r="A26" s="27" t="s">
        <v>15</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49999999999999" customHeight="1" thickBot="1" x14ac:dyDescent="0.3">
      <c r="A27" s="380"/>
      <c r="B27" s="381"/>
      <c r="C27" s="381"/>
      <c r="D27" s="381"/>
      <c r="E27" s="381"/>
      <c r="F27" s="381"/>
      <c r="G27" s="381"/>
      <c r="H27" s="381"/>
    </row>
    <row r="28" spans="1:8" s="20" customFormat="1" ht="20.149999999999999" customHeight="1" x14ac:dyDescent="0.25">
      <c r="A28" s="377" t="s">
        <v>26</v>
      </c>
      <c r="B28" s="378"/>
      <c r="C28" s="378"/>
      <c r="D28" s="378"/>
      <c r="E28" s="378"/>
      <c r="F28" s="378"/>
      <c r="G28" s="378"/>
      <c r="H28" s="379"/>
    </row>
    <row r="29" spans="1:8" s="8" customFormat="1" ht="20.149999999999999" customHeight="1" x14ac:dyDescent="0.25">
      <c r="A29" s="385" t="s">
        <v>13</v>
      </c>
      <c r="B29" s="384" t="s">
        <v>28</v>
      </c>
      <c r="C29" s="384"/>
      <c r="D29" s="384"/>
      <c r="E29" s="384" t="s">
        <v>29</v>
      </c>
      <c r="F29" s="384"/>
      <c r="G29" s="384"/>
      <c r="H29" s="376" t="s">
        <v>15</v>
      </c>
    </row>
    <row r="30" spans="1:8" s="8" customFormat="1" ht="20.149999999999999" customHeight="1" thickBot="1" x14ac:dyDescent="0.3">
      <c r="A30" s="386"/>
      <c r="B30" s="46" t="s">
        <v>43</v>
      </c>
      <c r="C30" s="46" t="s">
        <v>44</v>
      </c>
      <c r="D30" s="46" t="s">
        <v>15</v>
      </c>
      <c r="E30" s="46" t="s">
        <v>43</v>
      </c>
      <c r="F30" s="46" t="s">
        <v>44</v>
      </c>
      <c r="G30" s="46" t="s">
        <v>15</v>
      </c>
      <c r="H30" s="419"/>
    </row>
    <row r="31" spans="1:8" s="8" customFormat="1" ht="20.149999999999999" customHeight="1" x14ac:dyDescent="0.25">
      <c r="A31" s="32" t="s">
        <v>75</v>
      </c>
      <c r="B31" s="21">
        <v>342500</v>
      </c>
      <c r="C31" s="21">
        <v>76070</v>
      </c>
      <c r="D31" s="22">
        <f>B31+C31</f>
        <v>418570</v>
      </c>
      <c r="E31" s="21">
        <v>27845</v>
      </c>
      <c r="F31" s="21">
        <v>11470</v>
      </c>
      <c r="G31" s="29">
        <f>E31+F31</f>
        <v>39315</v>
      </c>
      <c r="H31" s="31">
        <f>SUM(D31,G31)</f>
        <v>457885</v>
      </c>
    </row>
    <row r="32" spans="1:8" s="8" customFormat="1" ht="20.149999999999999" customHeight="1" x14ac:dyDescent="0.25">
      <c r="A32" s="49" t="s">
        <v>31</v>
      </c>
      <c r="B32" s="21">
        <v>0</v>
      </c>
      <c r="C32" s="21">
        <v>0</v>
      </c>
      <c r="D32" s="22">
        <f>B32+C32</f>
        <v>0</v>
      </c>
      <c r="E32" s="21">
        <v>0</v>
      </c>
      <c r="F32" s="21">
        <v>0</v>
      </c>
      <c r="G32" s="29">
        <f>E32+F32</f>
        <v>0</v>
      </c>
      <c r="H32" s="31">
        <f>SUM(D32,G32)</f>
        <v>0</v>
      </c>
    </row>
    <row r="33" spans="1:8" s="8" customFormat="1" ht="20.149999999999999" customHeight="1" x14ac:dyDescent="0.25">
      <c r="A33" s="49" t="s">
        <v>32</v>
      </c>
      <c r="B33" s="23">
        <v>0</v>
      </c>
      <c r="C33" s="23">
        <v>0</v>
      </c>
      <c r="D33" s="24">
        <f t="shared" ref="D33:D34" si="7">B33+C33</f>
        <v>0</v>
      </c>
      <c r="E33" s="23">
        <v>920700</v>
      </c>
      <c r="F33" s="23">
        <v>0</v>
      </c>
      <c r="G33" s="30">
        <f t="shared" ref="G33:G34" si="8">E33+F33</f>
        <v>920700</v>
      </c>
      <c r="H33" s="31">
        <f t="shared" ref="H33:H34" si="9">SUM(D33,G33)</f>
        <v>920700</v>
      </c>
    </row>
    <row r="34" spans="1:8" s="8" customFormat="1" ht="20.149999999999999" customHeight="1" x14ac:dyDescent="0.25">
      <c r="A34" s="49" t="s">
        <v>33</v>
      </c>
      <c r="B34" s="23">
        <v>0</v>
      </c>
      <c r="C34" s="23">
        <v>0</v>
      </c>
      <c r="D34" s="24">
        <f t="shared" si="7"/>
        <v>0</v>
      </c>
      <c r="E34" s="23">
        <v>19800</v>
      </c>
      <c r="F34" s="23">
        <v>0</v>
      </c>
      <c r="G34" s="30">
        <f t="shared" si="8"/>
        <v>19800</v>
      </c>
      <c r="H34" s="31">
        <f t="shared" si="9"/>
        <v>19800</v>
      </c>
    </row>
    <row r="35" spans="1:8" s="8" customFormat="1" ht="20.149999999999999" customHeight="1" x14ac:dyDescent="0.25">
      <c r="A35" s="41" t="s">
        <v>94</v>
      </c>
      <c r="B35" s="44"/>
      <c r="C35" s="44"/>
      <c r="D35" s="44"/>
      <c r="E35" s="44"/>
      <c r="F35" s="44"/>
      <c r="G35" s="45"/>
      <c r="H35" s="45"/>
    </row>
    <row r="36" spans="1:8" s="8" customFormat="1" ht="20.149999999999999" customHeight="1" x14ac:dyDescent="0.25">
      <c r="A36" s="49" t="s">
        <v>34</v>
      </c>
      <c r="B36" s="23">
        <v>0</v>
      </c>
      <c r="C36" s="23">
        <v>0</v>
      </c>
      <c r="D36" s="24">
        <f t="shared" ref="D36" si="10">B36+C36</f>
        <v>0</v>
      </c>
      <c r="E36" s="23">
        <v>0</v>
      </c>
      <c r="F36" s="23">
        <v>0</v>
      </c>
      <c r="G36" s="30">
        <f t="shared" ref="G36" si="11">E36+F36</f>
        <v>0</v>
      </c>
      <c r="H36" s="31">
        <f t="shared" ref="H36" si="12">SUM(D36,G36)</f>
        <v>0</v>
      </c>
    </row>
    <row r="37" spans="1:8" s="8" customFormat="1" ht="20.149999999999999" customHeight="1" x14ac:dyDescent="0.25">
      <c r="A37" s="49" t="s">
        <v>35</v>
      </c>
      <c r="B37" s="23">
        <v>0</v>
      </c>
      <c r="C37" s="23">
        <v>0</v>
      </c>
      <c r="D37" s="24">
        <f t="shared" ref="D37" si="13">B37+C37</f>
        <v>0</v>
      </c>
      <c r="E37" s="23">
        <v>0</v>
      </c>
      <c r="F37" s="23">
        <v>0</v>
      </c>
      <c r="G37" s="30">
        <f t="shared" ref="G37" si="14">E37+F37</f>
        <v>0</v>
      </c>
      <c r="H37" s="31">
        <f t="shared" ref="H37" si="15">SUM(D37,G37)</f>
        <v>0</v>
      </c>
    </row>
    <row r="38" spans="1:8" s="8" customFormat="1" ht="20.149999999999999" customHeight="1" x14ac:dyDescent="0.25">
      <c r="A38" s="49" t="s">
        <v>36</v>
      </c>
      <c r="B38" s="23">
        <v>0</v>
      </c>
      <c r="C38" s="23">
        <v>0</v>
      </c>
      <c r="D38" s="24">
        <f t="shared" ref="D38:D46" si="16">B38+C38</f>
        <v>0</v>
      </c>
      <c r="E38" s="23">
        <v>0</v>
      </c>
      <c r="F38" s="23">
        <v>0</v>
      </c>
      <c r="G38" s="30">
        <f t="shared" ref="G38:G46" si="17">E38+F38</f>
        <v>0</v>
      </c>
      <c r="H38" s="31">
        <f t="shared" ref="H38:H46" si="18">SUM(D38,G38)</f>
        <v>0</v>
      </c>
    </row>
    <row r="39" spans="1:8" s="8" customFormat="1" ht="20.149999999999999" customHeight="1" x14ac:dyDescent="0.25">
      <c r="A39" s="49" t="s">
        <v>14</v>
      </c>
      <c r="B39" s="23">
        <v>0</v>
      </c>
      <c r="C39" s="23">
        <v>0</v>
      </c>
      <c r="D39" s="24">
        <f t="shared" si="16"/>
        <v>0</v>
      </c>
      <c r="E39" s="23">
        <v>0</v>
      </c>
      <c r="F39" s="23">
        <v>0</v>
      </c>
      <c r="G39" s="30">
        <f t="shared" si="17"/>
        <v>0</v>
      </c>
      <c r="H39" s="31">
        <f t="shared" si="18"/>
        <v>0</v>
      </c>
    </row>
    <row r="40" spans="1:8" s="8" customFormat="1" ht="20.149999999999999" customHeight="1" x14ac:dyDescent="0.25">
      <c r="A40" s="49" t="s">
        <v>37</v>
      </c>
      <c r="B40" s="23">
        <v>0</v>
      </c>
      <c r="C40" s="23">
        <v>0</v>
      </c>
      <c r="D40" s="24">
        <f t="shared" si="16"/>
        <v>0</v>
      </c>
      <c r="E40" s="23">
        <v>0</v>
      </c>
      <c r="F40" s="23">
        <v>0</v>
      </c>
      <c r="G40" s="30">
        <f t="shared" si="17"/>
        <v>0</v>
      </c>
      <c r="H40" s="31">
        <f t="shared" si="18"/>
        <v>0</v>
      </c>
    </row>
    <row r="41" spans="1:8" s="8" customFormat="1" ht="20.149999999999999" customHeight="1" x14ac:dyDescent="0.25">
      <c r="A41" s="49" t="s">
        <v>38</v>
      </c>
      <c r="B41" s="23">
        <v>0</v>
      </c>
      <c r="C41" s="23">
        <v>0</v>
      </c>
      <c r="D41" s="24">
        <f t="shared" si="16"/>
        <v>0</v>
      </c>
      <c r="E41" s="23">
        <v>0</v>
      </c>
      <c r="F41" s="23">
        <v>0</v>
      </c>
      <c r="G41" s="30">
        <f t="shared" si="17"/>
        <v>0</v>
      </c>
      <c r="H41" s="31">
        <f t="shared" si="18"/>
        <v>0</v>
      </c>
    </row>
    <row r="42" spans="1:8" s="8" customFormat="1" ht="20.149999999999999" customHeight="1" x14ac:dyDescent="0.25">
      <c r="A42" s="49" t="s">
        <v>39</v>
      </c>
      <c r="B42" s="23">
        <v>42885</v>
      </c>
      <c r="C42" s="23">
        <v>0</v>
      </c>
      <c r="D42" s="24">
        <f t="shared" si="16"/>
        <v>42885</v>
      </c>
      <c r="E42" s="23">
        <v>0</v>
      </c>
      <c r="F42" s="23">
        <v>0</v>
      </c>
      <c r="G42" s="30">
        <f t="shared" si="17"/>
        <v>0</v>
      </c>
      <c r="H42" s="31">
        <f t="shared" si="18"/>
        <v>42885</v>
      </c>
    </row>
    <row r="43" spans="1:8" s="8" customFormat="1" ht="20.149999999999999" customHeight="1" x14ac:dyDescent="0.25">
      <c r="A43" s="49" t="s">
        <v>40</v>
      </c>
      <c r="B43" s="23">
        <v>0</v>
      </c>
      <c r="C43" s="23">
        <v>0</v>
      </c>
      <c r="D43" s="24">
        <f t="shared" si="16"/>
        <v>0</v>
      </c>
      <c r="E43" s="23">
        <v>0</v>
      </c>
      <c r="F43" s="23">
        <v>0</v>
      </c>
      <c r="G43" s="30">
        <f t="shared" si="17"/>
        <v>0</v>
      </c>
      <c r="H43" s="31">
        <f t="shared" si="18"/>
        <v>0</v>
      </c>
    </row>
    <row r="44" spans="1:8" s="8" customFormat="1" ht="20.149999999999999" customHeight="1" x14ac:dyDescent="0.25">
      <c r="A44" s="49" t="s">
        <v>41</v>
      </c>
      <c r="B44" s="23">
        <v>90301</v>
      </c>
      <c r="C44" s="23">
        <v>0</v>
      </c>
      <c r="D44" s="24">
        <f t="shared" si="16"/>
        <v>90301</v>
      </c>
      <c r="E44" s="23">
        <v>0</v>
      </c>
      <c r="F44" s="23">
        <v>0</v>
      </c>
      <c r="G44" s="30">
        <f t="shared" si="17"/>
        <v>0</v>
      </c>
      <c r="H44" s="31">
        <f t="shared" si="18"/>
        <v>90301</v>
      </c>
    </row>
    <row r="45" spans="1:8" s="8" customFormat="1" ht="20.149999999999999" customHeight="1" x14ac:dyDescent="0.25">
      <c r="A45" s="50" t="s">
        <v>115</v>
      </c>
      <c r="B45" s="23">
        <v>10536</v>
      </c>
      <c r="C45" s="23">
        <v>0</v>
      </c>
      <c r="D45" s="24">
        <f t="shared" si="16"/>
        <v>10536</v>
      </c>
      <c r="E45" s="23">
        <v>2517</v>
      </c>
      <c r="F45" s="23">
        <v>0</v>
      </c>
      <c r="G45" s="30">
        <f t="shared" si="17"/>
        <v>2517</v>
      </c>
      <c r="H45" s="31">
        <f t="shared" si="18"/>
        <v>13053</v>
      </c>
    </row>
    <row r="46" spans="1:8" s="8" customFormat="1" ht="20.149999999999999" customHeight="1" x14ac:dyDescent="0.25">
      <c r="A46" s="49" t="s">
        <v>42</v>
      </c>
      <c r="B46" s="23">
        <v>0</v>
      </c>
      <c r="C46" s="23">
        <v>0</v>
      </c>
      <c r="D46" s="24">
        <f t="shared" si="16"/>
        <v>0</v>
      </c>
      <c r="E46" s="23">
        <v>0</v>
      </c>
      <c r="F46" s="23">
        <v>0</v>
      </c>
      <c r="G46" s="30">
        <f t="shared" si="17"/>
        <v>0</v>
      </c>
      <c r="H46" s="31">
        <f t="shared" si="18"/>
        <v>0</v>
      </c>
    </row>
    <row r="47" spans="1:8" s="8" customFormat="1" ht="20.149999999999999" customHeight="1" thickBot="1" x14ac:dyDescent="0.3">
      <c r="A47" s="27" t="s">
        <v>15</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49999999999999" customHeight="1" thickBot="1" x14ac:dyDescent="0.3">
      <c r="A48" s="380"/>
      <c r="B48" s="381"/>
      <c r="C48" s="381"/>
      <c r="D48" s="381"/>
      <c r="E48" s="381"/>
      <c r="F48" s="381"/>
      <c r="G48" s="381"/>
      <c r="H48" s="381"/>
    </row>
    <row r="49" spans="1:8" s="20" customFormat="1" ht="20.149999999999999" customHeight="1" x14ac:dyDescent="0.25">
      <c r="A49" s="377" t="s">
        <v>23</v>
      </c>
      <c r="B49" s="378"/>
      <c r="C49" s="378"/>
      <c r="D49" s="378"/>
      <c r="E49" s="378"/>
      <c r="F49" s="378"/>
      <c r="G49" s="378"/>
      <c r="H49" s="379"/>
    </row>
    <row r="50" spans="1:8" s="8" customFormat="1" ht="20.149999999999999" customHeight="1" x14ac:dyDescent="0.25">
      <c r="A50" s="385" t="s">
        <v>13</v>
      </c>
      <c r="B50" s="384" t="s">
        <v>28</v>
      </c>
      <c r="C50" s="384"/>
      <c r="D50" s="384"/>
      <c r="E50" s="384" t="s">
        <v>29</v>
      </c>
      <c r="F50" s="384"/>
      <c r="G50" s="384"/>
      <c r="H50" s="376" t="s">
        <v>15</v>
      </c>
    </row>
    <row r="51" spans="1:8" s="8" customFormat="1" ht="20.149999999999999" customHeight="1" thickBot="1" x14ac:dyDescent="0.3">
      <c r="A51" s="386"/>
      <c r="B51" s="46" t="s">
        <v>43</v>
      </c>
      <c r="C51" s="46" t="s">
        <v>44</v>
      </c>
      <c r="D51" s="46" t="s">
        <v>15</v>
      </c>
      <c r="E51" s="46" t="s">
        <v>43</v>
      </c>
      <c r="F51" s="46" t="s">
        <v>44</v>
      </c>
      <c r="G51" s="46" t="s">
        <v>15</v>
      </c>
      <c r="H51" s="376"/>
    </row>
    <row r="52" spans="1:8" s="8" customFormat="1" ht="20.149999999999999" customHeight="1" x14ac:dyDescent="0.25">
      <c r="A52" s="32" t="s">
        <v>75</v>
      </c>
      <c r="B52" s="21">
        <v>356200</v>
      </c>
      <c r="C52" s="21">
        <v>79113</v>
      </c>
      <c r="D52" s="22">
        <f>B52+C52</f>
        <v>435313</v>
      </c>
      <c r="E52" s="21">
        <v>28959</v>
      </c>
      <c r="F52" s="21">
        <v>11929</v>
      </c>
      <c r="G52" s="29">
        <f>E52+F52</f>
        <v>40888</v>
      </c>
      <c r="H52" s="31">
        <f>SUM(D52,G52)</f>
        <v>476201</v>
      </c>
    </row>
    <row r="53" spans="1:8" s="8" customFormat="1" ht="20.149999999999999" customHeight="1" x14ac:dyDescent="0.25">
      <c r="A53" s="49" t="s">
        <v>31</v>
      </c>
      <c r="B53" s="21">
        <v>0</v>
      </c>
      <c r="C53" s="21">
        <v>0</v>
      </c>
      <c r="D53" s="22">
        <f>B53+C53</f>
        <v>0</v>
      </c>
      <c r="E53" s="21">
        <v>0</v>
      </c>
      <c r="F53" s="21">
        <v>0</v>
      </c>
      <c r="G53" s="29">
        <f>E53+F53</f>
        <v>0</v>
      </c>
      <c r="H53" s="31">
        <f>SUM(D53,G53)</f>
        <v>0</v>
      </c>
    </row>
    <row r="54" spans="1:8" s="8" customFormat="1" ht="20.149999999999999" customHeight="1" x14ac:dyDescent="0.25">
      <c r="A54" s="49" t="s">
        <v>32</v>
      </c>
      <c r="B54" s="23">
        <v>0</v>
      </c>
      <c r="C54" s="23">
        <v>0</v>
      </c>
      <c r="D54" s="24">
        <f t="shared" ref="D54:D55" si="25">B54+C54</f>
        <v>0</v>
      </c>
      <c r="E54" s="23">
        <v>957528</v>
      </c>
      <c r="F54" s="23">
        <v>0</v>
      </c>
      <c r="G54" s="30">
        <f t="shared" ref="G54:G55" si="26">E54+F54</f>
        <v>957528</v>
      </c>
      <c r="H54" s="31">
        <f t="shared" ref="H54:H55" si="27">SUM(D54,G54)</f>
        <v>957528</v>
      </c>
    </row>
    <row r="55" spans="1:8" s="8" customFormat="1" ht="20.149999999999999" customHeight="1" x14ac:dyDescent="0.25">
      <c r="A55" s="49" t="s">
        <v>33</v>
      </c>
      <c r="B55" s="23">
        <v>0</v>
      </c>
      <c r="C55" s="23">
        <v>0</v>
      </c>
      <c r="D55" s="24">
        <f t="shared" si="25"/>
        <v>0</v>
      </c>
      <c r="E55" s="23">
        <v>20592</v>
      </c>
      <c r="F55" s="23">
        <v>0</v>
      </c>
      <c r="G55" s="30">
        <f t="shared" si="26"/>
        <v>20592</v>
      </c>
      <c r="H55" s="31">
        <f t="shared" si="27"/>
        <v>20592</v>
      </c>
    </row>
    <row r="56" spans="1:8" s="8" customFormat="1" ht="20.149999999999999" customHeight="1" x14ac:dyDescent="0.25">
      <c r="A56" s="41" t="s">
        <v>94</v>
      </c>
      <c r="B56" s="23">
        <v>0</v>
      </c>
      <c r="C56" s="23">
        <v>0</v>
      </c>
      <c r="D56" s="24">
        <f t="shared" ref="D56" si="28">B56+C56</f>
        <v>0</v>
      </c>
      <c r="E56" s="23">
        <v>0</v>
      </c>
      <c r="F56" s="23">
        <v>0</v>
      </c>
      <c r="G56" s="30">
        <f t="shared" ref="G56" si="29">E56+F56</f>
        <v>0</v>
      </c>
      <c r="H56" s="31">
        <f t="shared" ref="H56" si="30">SUM(D56,G56)</f>
        <v>0</v>
      </c>
    </row>
    <row r="57" spans="1:8" s="8" customFormat="1" ht="20.149999999999999" customHeight="1" x14ac:dyDescent="0.25">
      <c r="A57" s="49" t="s">
        <v>34</v>
      </c>
      <c r="B57" s="23">
        <v>0</v>
      </c>
      <c r="C57" s="23">
        <v>0</v>
      </c>
      <c r="D57" s="24">
        <f t="shared" ref="D57:D67" si="31">B57+C57</f>
        <v>0</v>
      </c>
      <c r="E57" s="23">
        <v>0</v>
      </c>
      <c r="F57" s="23">
        <v>0</v>
      </c>
      <c r="G57" s="30">
        <f t="shared" ref="G57:G67" si="32">E57+F57</f>
        <v>0</v>
      </c>
      <c r="H57" s="31">
        <f t="shared" ref="H57:H67" si="33">SUM(D57,G57)</f>
        <v>0</v>
      </c>
    </row>
    <row r="58" spans="1:8" s="8" customFormat="1" ht="20.149999999999999" customHeight="1" x14ac:dyDescent="0.25">
      <c r="A58" s="49" t="s">
        <v>35</v>
      </c>
      <c r="B58" s="23">
        <v>0</v>
      </c>
      <c r="C58" s="23">
        <v>0</v>
      </c>
      <c r="D58" s="24">
        <f t="shared" si="31"/>
        <v>0</v>
      </c>
      <c r="E58" s="23">
        <v>0</v>
      </c>
      <c r="F58" s="23">
        <v>0</v>
      </c>
      <c r="G58" s="30">
        <f t="shared" si="32"/>
        <v>0</v>
      </c>
      <c r="H58" s="31">
        <f t="shared" si="33"/>
        <v>0</v>
      </c>
    </row>
    <row r="59" spans="1:8" s="8" customFormat="1" ht="20.149999999999999" customHeight="1" x14ac:dyDescent="0.25">
      <c r="A59" s="49" t="s">
        <v>36</v>
      </c>
      <c r="B59" s="23">
        <v>0</v>
      </c>
      <c r="C59" s="23">
        <v>0</v>
      </c>
      <c r="D59" s="24">
        <f t="shared" si="31"/>
        <v>0</v>
      </c>
      <c r="E59" s="23">
        <v>0</v>
      </c>
      <c r="F59" s="23">
        <v>0</v>
      </c>
      <c r="G59" s="30">
        <f t="shared" si="32"/>
        <v>0</v>
      </c>
      <c r="H59" s="31">
        <f t="shared" si="33"/>
        <v>0</v>
      </c>
    </row>
    <row r="60" spans="1:8" s="8" customFormat="1" ht="20.149999999999999" customHeight="1" x14ac:dyDescent="0.25">
      <c r="A60" s="49" t="s">
        <v>14</v>
      </c>
      <c r="B60" s="23">
        <v>0</v>
      </c>
      <c r="C60" s="23">
        <v>0</v>
      </c>
      <c r="D60" s="24">
        <f t="shared" si="31"/>
        <v>0</v>
      </c>
      <c r="E60" s="23">
        <v>0</v>
      </c>
      <c r="F60" s="23">
        <v>0</v>
      </c>
      <c r="G60" s="30">
        <f t="shared" si="32"/>
        <v>0</v>
      </c>
      <c r="H60" s="31">
        <f t="shared" si="33"/>
        <v>0</v>
      </c>
    </row>
    <row r="61" spans="1:8" s="8" customFormat="1" ht="20.149999999999999" customHeight="1" x14ac:dyDescent="0.25">
      <c r="A61" s="49" t="s">
        <v>37</v>
      </c>
      <c r="B61" s="23">
        <v>0</v>
      </c>
      <c r="C61" s="23">
        <v>0</v>
      </c>
      <c r="D61" s="24">
        <f t="shared" si="31"/>
        <v>0</v>
      </c>
      <c r="E61" s="23">
        <v>0</v>
      </c>
      <c r="F61" s="23">
        <v>0</v>
      </c>
      <c r="G61" s="30">
        <f t="shared" si="32"/>
        <v>0</v>
      </c>
      <c r="H61" s="31">
        <f t="shared" si="33"/>
        <v>0</v>
      </c>
    </row>
    <row r="62" spans="1:8" s="8" customFormat="1" ht="20.149999999999999" customHeight="1" x14ac:dyDescent="0.25">
      <c r="A62" s="49" t="s">
        <v>38</v>
      </c>
      <c r="B62" s="23">
        <v>0</v>
      </c>
      <c r="C62" s="23">
        <v>0</v>
      </c>
      <c r="D62" s="24">
        <f t="shared" si="31"/>
        <v>0</v>
      </c>
      <c r="E62" s="23">
        <v>0</v>
      </c>
      <c r="F62" s="23">
        <v>0</v>
      </c>
      <c r="G62" s="30">
        <f t="shared" si="32"/>
        <v>0</v>
      </c>
      <c r="H62" s="31">
        <f t="shared" si="33"/>
        <v>0</v>
      </c>
    </row>
    <row r="63" spans="1:8" s="8" customFormat="1" ht="20.149999999999999" customHeight="1" x14ac:dyDescent="0.25">
      <c r="A63" s="49" t="s">
        <v>39</v>
      </c>
      <c r="B63" s="23">
        <v>44600</v>
      </c>
      <c r="C63" s="23">
        <v>0</v>
      </c>
      <c r="D63" s="24">
        <f t="shared" si="31"/>
        <v>44600</v>
      </c>
      <c r="E63" s="23">
        <v>0</v>
      </c>
      <c r="F63" s="23">
        <v>0</v>
      </c>
      <c r="G63" s="30">
        <f t="shared" si="32"/>
        <v>0</v>
      </c>
      <c r="H63" s="31">
        <f t="shared" si="33"/>
        <v>44600</v>
      </c>
    </row>
    <row r="64" spans="1:8" s="8" customFormat="1" ht="20.149999999999999" customHeight="1" x14ac:dyDescent="0.25">
      <c r="A64" s="49" t="s">
        <v>40</v>
      </c>
      <c r="B64" s="23">
        <v>0</v>
      </c>
      <c r="C64" s="23">
        <v>0</v>
      </c>
      <c r="D64" s="24">
        <f t="shared" si="31"/>
        <v>0</v>
      </c>
      <c r="E64" s="23">
        <v>0</v>
      </c>
      <c r="F64" s="23">
        <v>0</v>
      </c>
      <c r="G64" s="30">
        <f t="shared" si="32"/>
        <v>0</v>
      </c>
      <c r="H64" s="31">
        <f t="shared" si="33"/>
        <v>0</v>
      </c>
    </row>
    <row r="65" spans="1:8" s="8" customFormat="1" ht="20.149999999999999" customHeight="1" x14ac:dyDescent="0.25">
      <c r="A65" s="49" t="s">
        <v>41</v>
      </c>
      <c r="B65" s="23">
        <v>93913</v>
      </c>
      <c r="C65" s="23">
        <v>0</v>
      </c>
      <c r="D65" s="24">
        <f t="shared" si="31"/>
        <v>93913</v>
      </c>
      <c r="E65" s="23">
        <v>0</v>
      </c>
      <c r="F65" s="23">
        <v>0</v>
      </c>
      <c r="G65" s="30">
        <f t="shared" si="32"/>
        <v>0</v>
      </c>
      <c r="H65" s="31">
        <f t="shared" si="33"/>
        <v>93913</v>
      </c>
    </row>
    <row r="66" spans="1:8" s="8" customFormat="1" ht="20.149999999999999" customHeight="1" x14ac:dyDescent="0.25">
      <c r="A66" s="50" t="s">
        <v>115</v>
      </c>
      <c r="B66" s="23">
        <v>10957</v>
      </c>
      <c r="C66" s="23">
        <v>0</v>
      </c>
      <c r="D66" s="24">
        <f t="shared" si="31"/>
        <v>10957</v>
      </c>
      <c r="E66" s="23">
        <v>2618</v>
      </c>
      <c r="F66" s="23">
        <v>0</v>
      </c>
      <c r="G66" s="30">
        <f t="shared" si="32"/>
        <v>2618</v>
      </c>
      <c r="H66" s="31">
        <f t="shared" si="33"/>
        <v>13575</v>
      </c>
    </row>
    <row r="67" spans="1:8" s="8" customFormat="1" ht="20.149999999999999" customHeight="1" x14ac:dyDescent="0.25">
      <c r="A67" s="49" t="s">
        <v>42</v>
      </c>
      <c r="B67" s="23">
        <v>0</v>
      </c>
      <c r="C67" s="23">
        <v>0</v>
      </c>
      <c r="D67" s="24">
        <f t="shared" si="31"/>
        <v>0</v>
      </c>
      <c r="E67" s="23">
        <v>0</v>
      </c>
      <c r="F67" s="23">
        <v>0</v>
      </c>
      <c r="G67" s="30">
        <f t="shared" si="32"/>
        <v>0</v>
      </c>
      <c r="H67" s="31">
        <f t="shared" si="33"/>
        <v>0</v>
      </c>
    </row>
    <row r="68" spans="1:8" s="8" customFormat="1" ht="20.149999999999999" customHeight="1" thickBot="1" x14ac:dyDescent="0.3">
      <c r="A68" s="27" t="s">
        <v>15</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49999999999999" customHeight="1" thickBot="1" x14ac:dyDescent="0.3">
      <c r="A69" s="380"/>
      <c r="B69" s="381"/>
      <c r="C69" s="381"/>
      <c r="D69" s="381"/>
      <c r="E69" s="381"/>
      <c r="F69" s="381"/>
      <c r="G69" s="381"/>
      <c r="H69" s="381"/>
    </row>
    <row r="70" spans="1:8" s="20" customFormat="1" ht="20.149999999999999" customHeight="1" x14ac:dyDescent="0.25">
      <c r="A70" s="377" t="s">
        <v>27</v>
      </c>
      <c r="B70" s="378"/>
      <c r="C70" s="378"/>
      <c r="D70" s="378"/>
      <c r="E70" s="378"/>
      <c r="F70" s="378"/>
      <c r="G70" s="378"/>
      <c r="H70" s="379"/>
    </row>
    <row r="71" spans="1:8" s="8" customFormat="1" ht="20.149999999999999" customHeight="1" x14ac:dyDescent="0.25">
      <c r="A71" s="385" t="s">
        <v>13</v>
      </c>
      <c r="B71" s="384" t="s">
        <v>28</v>
      </c>
      <c r="C71" s="384"/>
      <c r="D71" s="384"/>
      <c r="E71" s="384" t="s">
        <v>29</v>
      </c>
      <c r="F71" s="384"/>
      <c r="G71" s="384"/>
      <c r="H71" s="376" t="s">
        <v>15</v>
      </c>
    </row>
    <row r="72" spans="1:8" s="8" customFormat="1" ht="20.149999999999999" customHeight="1" thickBot="1" x14ac:dyDescent="0.3">
      <c r="A72" s="386"/>
      <c r="B72" s="46" t="s">
        <v>43</v>
      </c>
      <c r="C72" s="46" t="s">
        <v>44</v>
      </c>
      <c r="D72" s="46" t="s">
        <v>15</v>
      </c>
      <c r="E72" s="46" t="s">
        <v>43</v>
      </c>
      <c r="F72" s="46" t="s">
        <v>44</v>
      </c>
      <c r="G72" s="46" t="s">
        <v>15</v>
      </c>
      <c r="H72" s="376"/>
    </row>
    <row r="73" spans="1:8" s="8" customFormat="1" ht="20.149999999999999" customHeight="1" x14ac:dyDescent="0.25">
      <c r="A73" s="32" t="s">
        <v>75</v>
      </c>
      <c r="B73" s="21">
        <v>370448</v>
      </c>
      <c r="C73" s="21">
        <v>82277</v>
      </c>
      <c r="D73" s="22">
        <f>B73+C73</f>
        <v>452725</v>
      </c>
      <c r="E73" s="21">
        <v>30117</v>
      </c>
      <c r="F73" s="21">
        <v>12406</v>
      </c>
      <c r="G73" s="29">
        <f>E73+F73</f>
        <v>42523</v>
      </c>
      <c r="H73" s="31">
        <f>SUM(D73,G73)</f>
        <v>495248</v>
      </c>
    </row>
    <row r="74" spans="1:8" s="8" customFormat="1" ht="20.149999999999999" customHeight="1" x14ac:dyDescent="0.25">
      <c r="A74" s="49" t="s">
        <v>31</v>
      </c>
      <c r="B74" s="21">
        <v>0</v>
      </c>
      <c r="C74" s="21">
        <v>0</v>
      </c>
      <c r="D74" s="22">
        <f>B74+C74</f>
        <v>0</v>
      </c>
      <c r="E74" s="21">
        <v>0</v>
      </c>
      <c r="F74" s="21">
        <v>0</v>
      </c>
      <c r="G74" s="29">
        <f>E74+F74</f>
        <v>0</v>
      </c>
      <c r="H74" s="31">
        <f>SUM(D74,G74)</f>
        <v>0</v>
      </c>
    </row>
    <row r="75" spans="1:8" s="8" customFormat="1" ht="20.149999999999999" customHeight="1" x14ac:dyDescent="0.25">
      <c r="A75" s="49" t="s">
        <v>32</v>
      </c>
      <c r="B75" s="23">
        <v>0</v>
      </c>
      <c r="C75" s="23">
        <v>0</v>
      </c>
      <c r="D75" s="24">
        <f t="shared" ref="D75:D88" si="40">B75+C75</f>
        <v>0</v>
      </c>
      <c r="E75" s="23">
        <v>995829</v>
      </c>
      <c r="F75" s="23">
        <v>0</v>
      </c>
      <c r="G75" s="30">
        <f t="shared" ref="G75:G88" si="41">E75+F75</f>
        <v>995829</v>
      </c>
      <c r="H75" s="31">
        <f t="shared" ref="H75:H88" si="42">SUM(D75,G75)</f>
        <v>995829</v>
      </c>
    </row>
    <row r="76" spans="1:8" s="8" customFormat="1" ht="20.149999999999999" customHeight="1" x14ac:dyDescent="0.25">
      <c r="A76" s="49" t="s">
        <v>33</v>
      </c>
      <c r="B76" s="23">
        <v>0</v>
      </c>
      <c r="C76" s="23">
        <v>0</v>
      </c>
      <c r="D76" s="24">
        <f t="shared" si="40"/>
        <v>0</v>
      </c>
      <c r="E76" s="23">
        <v>21416</v>
      </c>
      <c r="F76" s="23">
        <v>0</v>
      </c>
      <c r="G76" s="30">
        <f t="shared" si="41"/>
        <v>21416</v>
      </c>
      <c r="H76" s="31">
        <f t="shared" si="42"/>
        <v>21416</v>
      </c>
    </row>
    <row r="77" spans="1:8" s="8" customFormat="1" ht="20.149999999999999" customHeight="1" x14ac:dyDescent="0.25">
      <c r="A77" s="41" t="s">
        <v>94</v>
      </c>
      <c r="B77" s="23">
        <v>0</v>
      </c>
      <c r="C77" s="23">
        <v>0</v>
      </c>
      <c r="D77" s="24">
        <f t="shared" si="40"/>
        <v>0</v>
      </c>
      <c r="E77" s="23">
        <v>0</v>
      </c>
      <c r="F77" s="23">
        <v>0</v>
      </c>
      <c r="G77" s="30">
        <f t="shared" si="41"/>
        <v>0</v>
      </c>
      <c r="H77" s="31">
        <f t="shared" si="42"/>
        <v>0</v>
      </c>
    </row>
    <row r="78" spans="1:8" s="8" customFormat="1" ht="20.149999999999999" customHeight="1" x14ac:dyDescent="0.25">
      <c r="A78" s="49" t="s">
        <v>34</v>
      </c>
      <c r="B78" s="23">
        <v>0</v>
      </c>
      <c r="C78" s="23">
        <v>0</v>
      </c>
      <c r="D78" s="24">
        <f t="shared" si="40"/>
        <v>0</v>
      </c>
      <c r="E78" s="23">
        <v>0</v>
      </c>
      <c r="F78" s="23">
        <v>0</v>
      </c>
      <c r="G78" s="30">
        <f t="shared" si="41"/>
        <v>0</v>
      </c>
      <c r="H78" s="31">
        <f t="shared" si="42"/>
        <v>0</v>
      </c>
    </row>
    <row r="79" spans="1:8" s="8" customFormat="1" ht="20.149999999999999" customHeight="1" x14ac:dyDescent="0.25">
      <c r="A79" s="49" t="s">
        <v>35</v>
      </c>
      <c r="B79" s="23">
        <v>0</v>
      </c>
      <c r="C79" s="23">
        <v>0</v>
      </c>
      <c r="D79" s="24">
        <f t="shared" si="40"/>
        <v>0</v>
      </c>
      <c r="E79" s="23">
        <v>0</v>
      </c>
      <c r="F79" s="23">
        <v>0</v>
      </c>
      <c r="G79" s="30">
        <f t="shared" si="41"/>
        <v>0</v>
      </c>
      <c r="H79" s="31">
        <f t="shared" si="42"/>
        <v>0</v>
      </c>
    </row>
    <row r="80" spans="1:8" s="8" customFormat="1" ht="20.149999999999999" customHeight="1" x14ac:dyDescent="0.25">
      <c r="A80" s="49" t="s">
        <v>36</v>
      </c>
      <c r="B80" s="23">
        <v>0</v>
      </c>
      <c r="C80" s="23">
        <v>0</v>
      </c>
      <c r="D80" s="24">
        <f t="shared" si="40"/>
        <v>0</v>
      </c>
      <c r="E80" s="23">
        <v>0</v>
      </c>
      <c r="F80" s="23">
        <v>0</v>
      </c>
      <c r="G80" s="30">
        <f t="shared" si="41"/>
        <v>0</v>
      </c>
      <c r="H80" s="31">
        <f t="shared" si="42"/>
        <v>0</v>
      </c>
    </row>
    <row r="81" spans="1:8" s="8" customFormat="1" ht="20.149999999999999" customHeight="1" x14ac:dyDescent="0.25">
      <c r="A81" s="49" t="s">
        <v>14</v>
      </c>
      <c r="B81" s="23">
        <v>0</v>
      </c>
      <c r="C81" s="23">
        <v>0</v>
      </c>
      <c r="D81" s="24">
        <f t="shared" si="40"/>
        <v>0</v>
      </c>
      <c r="E81" s="23">
        <v>0</v>
      </c>
      <c r="F81" s="23">
        <v>0</v>
      </c>
      <c r="G81" s="30">
        <f t="shared" si="41"/>
        <v>0</v>
      </c>
      <c r="H81" s="31">
        <f t="shared" si="42"/>
        <v>0</v>
      </c>
    </row>
    <row r="82" spans="1:8" s="8" customFormat="1" ht="20.149999999999999" customHeight="1" x14ac:dyDescent="0.25">
      <c r="A82" s="49" t="s">
        <v>37</v>
      </c>
      <c r="B82" s="23">
        <v>0</v>
      </c>
      <c r="C82" s="23">
        <v>0</v>
      </c>
      <c r="D82" s="24">
        <f t="shared" si="40"/>
        <v>0</v>
      </c>
      <c r="E82" s="23">
        <v>0</v>
      </c>
      <c r="F82" s="23">
        <v>0</v>
      </c>
      <c r="G82" s="30">
        <f t="shared" si="41"/>
        <v>0</v>
      </c>
      <c r="H82" s="31">
        <f t="shared" si="42"/>
        <v>0</v>
      </c>
    </row>
    <row r="83" spans="1:8" s="8" customFormat="1" ht="20.149999999999999" customHeight="1" x14ac:dyDescent="0.25">
      <c r="A83" s="49" t="s">
        <v>38</v>
      </c>
      <c r="B83" s="23">
        <v>0</v>
      </c>
      <c r="C83" s="23">
        <v>0</v>
      </c>
      <c r="D83" s="24">
        <f t="shared" si="40"/>
        <v>0</v>
      </c>
      <c r="E83" s="23">
        <v>0</v>
      </c>
      <c r="F83" s="23">
        <v>0</v>
      </c>
      <c r="G83" s="30">
        <f t="shared" si="41"/>
        <v>0</v>
      </c>
      <c r="H83" s="31">
        <f t="shared" si="42"/>
        <v>0</v>
      </c>
    </row>
    <row r="84" spans="1:8" s="8" customFormat="1" ht="20.149999999999999" customHeight="1" x14ac:dyDescent="0.25">
      <c r="A84" s="49" t="s">
        <v>39</v>
      </c>
      <c r="B84" s="23">
        <v>46384</v>
      </c>
      <c r="C84" s="23">
        <v>0</v>
      </c>
      <c r="D84" s="24">
        <f t="shared" si="40"/>
        <v>46384</v>
      </c>
      <c r="E84" s="23">
        <v>0</v>
      </c>
      <c r="F84" s="23">
        <v>0</v>
      </c>
      <c r="G84" s="30">
        <f t="shared" si="41"/>
        <v>0</v>
      </c>
      <c r="H84" s="31">
        <f t="shared" si="42"/>
        <v>46384</v>
      </c>
    </row>
    <row r="85" spans="1:8" s="8" customFormat="1" ht="20.149999999999999" customHeight="1" x14ac:dyDescent="0.25">
      <c r="A85" s="49" t="s">
        <v>40</v>
      </c>
      <c r="B85" s="23">
        <v>0</v>
      </c>
      <c r="C85" s="23">
        <v>0</v>
      </c>
      <c r="D85" s="24">
        <f t="shared" si="40"/>
        <v>0</v>
      </c>
      <c r="E85" s="23">
        <v>0</v>
      </c>
      <c r="F85" s="23">
        <v>0</v>
      </c>
      <c r="G85" s="30">
        <f t="shared" si="41"/>
        <v>0</v>
      </c>
      <c r="H85" s="31">
        <f t="shared" si="42"/>
        <v>0</v>
      </c>
    </row>
    <row r="86" spans="1:8" s="8" customFormat="1" ht="20.149999999999999" customHeight="1" x14ac:dyDescent="0.25">
      <c r="A86" s="49" t="s">
        <v>41</v>
      </c>
      <c r="B86" s="23">
        <v>97670</v>
      </c>
      <c r="C86" s="23">
        <v>0</v>
      </c>
      <c r="D86" s="24">
        <f t="shared" si="40"/>
        <v>97670</v>
      </c>
      <c r="E86" s="23">
        <v>0</v>
      </c>
      <c r="F86" s="23">
        <v>0</v>
      </c>
      <c r="G86" s="30">
        <f t="shared" si="41"/>
        <v>0</v>
      </c>
      <c r="H86" s="31">
        <f t="shared" si="42"/>
        <v>97670</v>
      </c>
    </row>
    <row r="87" spans="1:8" s="8" customFormat="1" ht="20.149999999999999" customHeight="1" x14ac:dyDescent="0.25">
      <c r="A87" s="50" t="s">
        <v>115</v>
      </c>
      <c r="B87" s="23">
        <v>11396</v>
      </c>
      <c r="C87" s="23">
        <v>0</v>
      </c>
      <c r="D87" s="24">
        <f t="shared" si="40"/>
        <v>11396</v>
      </c>
      <c r="E87" s="23">
        <v>2722</v>
      </c>
      <c r="F87" s="23">
        <v>0</v>
      </c>
      <c r="G87" s="30">
        <f t="shared" si="41"/>
        <v>2722</v>
      </c>
      <c r="H87" s="31">
        <f t="shared" si="42"/>
        <v>14118</v>
      </c>
    </row>
    <row r="88" spans="1:8" s="8" customFormat="1" ht="20.149999999999999" customHeight="1" x14ac:dyDescent="0.25">
      <c r="A88" s="49" t="s">
        <v>42</v>
      </c>
      <c r="B88" s="23">
        <v>0</v>
      </c>
      <c r="C88" s="23">
        <v>0</v>
      </c>
      <c r="D88" s="24">
        <f t="shared" si="40"/>
        <v>0</v>
      </c>
      <c r="E88" s="23">
        <v>0</v>
      </c>
      <c r="F88" s="23">
        <v>0</v>
      </c>
      <c r="G88" s="30">
        <f t="shared" si="41"/>
        <v>0</v>
      </c>
      <c r="H88" s="31">
        <f t="shared" si="42"/>
        <v>0</v>
      </c>
    </row>
    <row r="89" spans="1:8" s="8" customFormat="1" ht="20.149999999999999" customHeight="1" thickBot="1" x14ac:dyDescent="0.3">
      <c r="A89" s="27" t="s">
        <v>15</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49999999999999" customHeight="1" thickBot="1" x14ac:dyDescent="0.3">
      <c r="A90" s="380"/>
      <c r="B90" s="381"/>
      <c r="C90" s="381"/>
      <c r="D90" s="381"/>
      <c r="E90" s="381"/>
      <c r="F90" s="381"/>
      <c r="G90" s="381"/>
      <c r="H90" s="381"/>
    </row>
    <row r="91" spans="1:8" s="20" customFormat="1" ht="20.149999999999999" customHeight="1" x14ac:dyDescent="0.25">
      <c r="A91" s="377" t="s">
        <v>45</v>
      </c>
      <c r="B91" s="378"/>
      <c r="C91" s="378"/>
      <c r="D91" s="378"/>
      <c r="E91" s="378"/>
      <c r="F91" s="378"/>
      <c r="G91" s="378"/>
      <c r="H91" s="379"/>
    </row>
    <row r="92" spans="1:8" s="8" customFormat="1" ht="20.149999999999999" customHeight="1" x14ac:dyDescent="0.25">
      <c r="A92" s="382" t="s">
        <v>13</v>
      </c>
      <c r="B92" s="384" t="s">
        <v>28</v>
      </c>
      <c r="C92" s="384"/>
      <c r="D92" s="384"/>
      <c r="E92" s="384" t="s">
        <v>29</v>
      </c>
      <c r="F92" s="384"/>
      <c r="G92" s="384"/>
      <c r="H92" s="376" t="s">
        <v>15</v>
      </c>
    </row>
    <row r="93" spans="1:8" s="8" customFormat="1" ht="20.149999999999999" customHeight="1" x14ac:dyDescent="0.25">
      <c r="A93" s="383"/>
      <c r="B93" s="46" t="s">
        <v>43</v>
      </c>
      <c r="C93" s="46" t="s">
        <v>44</v>
      </c>
      <c r="D93" s="46" t="s">
        <v>15</v>
      </c>
      <c r="E93" s="46" t="s">
        <v>43</v>
      </c>
      <c r="F93" s="46" t="s">
        <v>44</v>
      </c>
      <c r="G93" s="46" t="s">
        <v>15</v>
      </c>
      <c r="H93" s="376"/>
    </row>
    <row r="94" spans="1:8" s="8" customFormat="1" ht="20.149999999999999" customHeight="1" x14ac:dyDescent="0.25">
      <c r="A94" s="32" t="s">
        <v>75</v>
      </c>
      <c r="B94" s="21">
        <v>385266</v>
      </c>
      <c r="C94" s="21">
        <v>85568</v>
      </c>
      <c r="D94" s="22">
        <f>B94+C94</f>
        <v>470834</v>
      </c>
      <c r="E94" s="21">
        <v>31322</v>
      </c>
      <c r="F94" s="21">
        <v>12902</v>
      </c>
      <c r="G94" s="29">
        <f>E94+F94</f>
        <v>44224</v>
      </c>
      <c r="H94" s="31">
        <f>SUM(D94,G94)</f>
        <v>515058</v>
      </c>
    </row>
    <row r="95" spans="1:8" s="8" customFormat="1" ht="20.149999999999999" customHeight="1" x14ac:dyDescent="0.25">
      <c r="A95" s="49" t="s">
        <v>31</v>
      </c>
      <c r="B95" s="21">
        <v>0</v>
      </c>
      <c r="C95" s="21">
        <v>0</v>
      </c>
      <c r="D95" s="22">
        <f>B95+C95</f>
        <v>0</v>
      </c>
      <c r="E95" s="21">
        <v>0</v>
      </c>
      <c r="F95" s="21">
        <v>0</v>
      </c>
      <c r="G95" s="29">
        <f>E95+F95</f>
        <v>0</v>
      </c>
      <c r="H95" s="31">
        <f>SUM(D95,G95)</f>
        <v>0</v>
      </c>
    </row>
    <row r="96" spans="1:8" s="8" customFormat="1" ht="20.149999999999999" customHeight="1" x14ac:dyDescent="0.25">
      <c r="A96" s="49" t="s">
        <v>32</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49999999999999" customHeight="1" x14ac:dyDescent="0.25">
      <c r="A97" s="49" t="s">
        <v>33</v>
      </c>
      <c r="B97" s="23">
        <v>0</v>
      </c>
      <c r="C97" s="23">
        <v>0</v>
      </c>
      <c r="D97" s="24">
        <f t="shared" si="49"/>
        <v>0</v>
      </c>
      <c r="E97" s="23">
        <v>22272</v>
      </c>
      <c r="F97" s="23">
        <v>0</v>
      </c>
      <c r="G97" s="30">
        <f t="shared" si="50"/>
        <v>22272</v>
      </c>
      <c r="H97" s="31">
        <f t="shared" si="51"/>
        <v>22272</v>
      </c>
    </row>
    <row r="98" spans="1:8" s="8" customFormat="1" ht="20.149999999999999" customHeight="1" x14ac:dyDescent="0.25">
      <c r="A98" s="41" t="s">
        <v>94</v>
      </c>
      <c r="B98" s="23">
        <v>0</v>
      </c>
      <c r="C98" s="23">
        <v>0</v>
      </c>
      <c r="D98" s="24">
        <f t="shared" si="49"/>
        <v>0</v>
      </c>
      <c r="E98" s="23">
        <v>0</v>
      </c>
      <c r="F98" s="23">
        <v>0</v>
      </c>
      <c r="G98" s="30">
        <f t="shared" si="50"/>
        <v>0</v>
      </c>
      <c r="H98" s="31">
        <f t="shared" si="51"/>
        <v>0</v>
      </c>
    </row>
    <row r="99" spans="1:8" s="8" customFormat="1" ht="20.149999999999999" customHeight="1" x14ac:dyDescent="0.25">
      <c r="A99" s="49" t="s">
        <v>34</v>
      </c>
      <c r="B99" s="23">
        <v>0</v>
      </c>
      <c r="C99" s="23">
        <v>0</v>
      </c>
      <c r="D99" s="24">
        <f t="shared" si="49"/>
        <v>0</v>
      </c>
      <c r="E99" s="23">
        <v>0</v>
      </c>
      <c r="F99" s="23">
        <v>0</v>
      </c>
      <c r="G99" s="30">
        <f t="shared" si="50"/>
        <v>0</v>
      </c>
      <c r="H99" s="31">
        <f t="shared" si="51"/>
        <v>0</v>
      </c>
    </row>
    <row r="100" spans="1:8" s="8" customFormat="1" ht="20.149999999999999" customHeight="1" x14ac:dyDescent="0.25">
      <c r="A100" s="49" t="s">
        <v>35</v>
      </c>
      <c r="B100" s="23">
        <v>0</v>
      </c>
      <c r="C100" s="23">
        <v>0</v>
      </c>
      <c r="D100" s="24">
        <f t="shared" si="49"/>
        <v>0</v>
      </c>
      <c r="E100" s="23">
        <v>0</v>
      </c>
      <c r="F100" s="23">
        <v>0</v>
      </c>
      <c r="G100" s="30">
        <f t="shared" si="50"/>
        <v>0</v>
      </c>
      <c r="H100" s="31">
        <f t="shared" si="51"/>
        <v>0</v>
      </c>
    </row>
    <row r="101" spans="1:8" s="8" customFormat="1" ht="20.149999999999999" customHeight="1" x14ac:dyDescent="0.25">
      <c r="A101" s="49" t="s">
        <v>36</v>
      </c>
      <c r="B101" s="23">
        <v>0</v>
      </c>
      <c r="C101" s="23">
        <v>0</v>
      </c>
      <c r="D101" s="24">
        <f t="shared" si="49"/>
        <v>0</v>
      </c>
      <c r="E101" s="23">
        <v>0</v>
      </c>
      <c r="F101" s="23">
        <v>0</v>
      </c>
      <c r="G101" s="30">
        <f t="shared" si="50"/>
        <v>0</v>
      </c>
      <c r="H101" s="31">
        <f t="shared" si="51"/>
        <v>0</v>
      </c>
    </row>
    <row r="102" spans="1:8" s="8" customFormat="1" ht="20.149999999999999" customHeight="1" x14ac:dyDescent="0.25">
      <c r="A102" s="49" t="s">
        <v>14</v>
      </c>
      <c r="B102" s="23">
        <v>0</v>
      </c>
      <c r="C102" s="23">
        <v>0</v>
      </c>
      <c r="D102" s="24">
        <f t="shared" si="49"/>
        <v>0</v>
      </c>
      <c r="E102" s="23">
        <v>0</v>
      </c>
      <c r="F102" s="23">
        <v>0</v>
      </c>
      <c r="G102" s="30">
        <f t="shared" si="50"/>
        <v>0</v>
      </c>
      <c r="H102" s="31">
        <f t="shared" si="51"/>
        <v>0</v>
      </c>
    </row>
    <row r="103" spans="1:8" s="8" customFormat="1" ht="20.149999999999999" customHeight="1" x14ac:dyDescent="0.25">
      <c r="A103" s="49" t="s">
        <v>37</v>
      </c>
      <c r="B103" s="23">
        <v>0</v>
      </c>
      <c r="C103" s="23">
        <v>0</v>
      </c>
      <c r="D103" s="24">
        <f t="shared" si="49"/>
        <v>0</v>
      </c>
      <c r="E103" s="23">
        <v>0</v>
      </c>
      <c r="F103" s="23">
        <v>0</v>
      </c>
      <c r="G103" s="30">
        <f t="shared" si="50"/>
        <v>0</v>
      </c>
      <c r="H103" s="31">
        <f t="shared" si="51"/>
        <v>0</v>
      </c>
    </row>
    <row r="104" spans="1:8" s="8" customFormat="1" ht="20.149999999999999" customHeight="1" x14ac:dyDescent="0.25">
      <c r="A104" s="49" t="s">
        <v>38</v>
      </c>
      <c r="B104" s="23">
        <v>0</v>
      </c>
      <c r="C104" s="23">
        <v>0</v>
      </c>
      <c r="D104" s="24">
        <f t="shared" si="49"/>
        <v>0</v>
      </c>
      <c r="E104" s="23">
        <v>0</v>
      </c>
      <c r="F104" s="23">
        <v>0</v>
      </c>
      <c r="G104" s="30">
        <f t="shared" si="50"/>
        <v>0</v>
      </c>
      <c r="H104" s="31">
        <f t="shared" si="51"/>
        <v>0</v>
      </c>
    </row>
    <row r="105" spans="1:8" s="8" customFormat="1" ht="20.149999999999999" customHeight="1" x14ac:dyDescent="0.25">
      <c r="A105" s="49" t="s">
        <v>39</v>
      </c>
      <c r="B105" s="23">
        <v>48240</v>
      </c>
      <c r="C105" s="23">
        <v>0</v>
      </c>
      <c r="D105" s="24">
        <f t="shared" si="49"/>
        <v>48240</v>
      </c>
      <c r="E105" s="23">
        <v>0</v>
      </c>
      <c r="F105" s="23">
        <v>0</v>
      </c>
      <c r="G105" s="30">
        <f t="shared" si="50"/>
        <v>0</v>
      </c>
      <c r="H105" s="31">
        <f t="shared" si="51"/>
        <v>48240</v>
      </c>
    </row>
    <row r="106" spans="1:8" s="8" customFormat="1" ht="20.149999999999999" customHeight="1" x14ac:dyDescent="0.25">
      <c r="A106" s="49" t="s">
        <v>40</v>
      </c>
      <c r="B106" s="23">
        <v>0</v>
      </c>
      <c r="C106" s="23">
        <v>0</v>
      </c>
      <c r="D106" s="24">
        <f t="shared" si="49"/>
        <v>0</v>
      </c>
      <c r="E106" s="23">
        <v>0</v>
      </c>
      <c r="F106" s="23">
        <v>0</v>
      </c>
      <c r="G106" s="30">
        <f t="shared" si="50"/>
        <v>0</v>
      </c>
      <c r="H106" s="31">
        <f t="shared" si="51"/>
        <v>0</v>
      </c>
    </row>
    <row r="107" spans="1:8" s="8" customFormat="1" ht="20.149999999999999" customHeight="1" x14ac:dyDescent="0.25">
      <c r="A107" s="49" t="s">
        <v>41</v>
      </c>
      <c r="B107" s="23">
        <v>101576</v>
      </c>
      <c r="C107" s="23">
        <v>0</v>
      </c>
      <c r="D107" s="24">
        <f t="shared" si="49"/>
        <v>101576</v>
      </c>
      <c r="E107" s="23">
        <v>0</v>
      </c>
      <c r="F107" s="23">
        <v>0</v>
      </c>
      <c r="G107" s="30">
        <f t="shared" si="50"/>
        <v>0</v>
      </c>
      <c r="H107" s="31">
        <f t="shared" si="51"/>
        <v>101576</v>
      </c>
    </row>
    <row r="108" spans="1:8" s="8" customFormat="1" ht="20.149999999999999" customHeight="1" x14ac:dyDescent="0.25">
      <c r="A108" s="50" t="s">
        <v>115</v>
      </c>
      <c r="B108" s="23">
        <v>11852</v>
      </c>
      <c r="C108" s="23">
        <v>0</v>
      </c>
      <c r="D108" s="24">
        <f t="shared" si="49"/>
        <v>11852</v>
      </c>
      <c r="E108" s="23">
        <v>2831</v>
      </c>
      <c r="F108" s="23">
        <v>0</v>
      </c>
      <c r="G108" s="30">
        <f t="shared" si="50"/>
        <v>2831</v>
      </c>
      <c r="H108" s="31">
        <f t="shared" si="51"/>
        <v>14683</v>
      </c>
    </row>
    <row r="109" spans="1:8" s="8" customFormat="1" ht="20.149999999999999" customHeight="1" x14ac:dyDescent="0.25">
      <c r="A109" s="49" t="s">
        <v>42</v>
      </c>
      <c r="B109" s="23">
        <v>0</v>
      </c>
      <c r="C109" s="23">
        <v>0</v>
      </c>
      <c r="D109" s="24">
        <f t="shared" si="49"/>
        <v>0</v>
      </c>
      <c r="E109" s="23">
        <v>0</v>
      </c>
      <c r="F109" s="23">
        <v>0</v>
      </c>
      <c r="G109" s="30">
        <f t="shared" si="50"/>
        <v>0</v>
      </c>
      <c r="H109" s="31">
        <f t="shared" si="51"/>
        <v>0</v>
      </c>
    </row>
    <row r="110" spans="1:8" s="8" customFormat="1" ht="20.149999999999999" customHeight="1" thickBot="1" x14ac:dyDescent="0.3">
      <c r="A110" s="27" t="s">
        <v>15</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49999999999999" customHeight="1" x14ac:dyDescent="0.25"/>
    <row r="112" spans="1:8" ht="20.149999999999999" customHeight="1" thickBot="1" x14ac:dyDescent="0.3"/>
    <row r="113" spans="1:14" s="8" customFormat="1" ht="20.149999999999999" customHeight="1" thickBot="1" x14ac:dyDescent="0.3">
      <c r="A113" s="433" t="s">
        <v>13</v>
      </c>
      <c r="B113" s="434"/>
      <c r="C113" s="434"/>
      <c r="D113" s="435"/>
      <c r="E113" s="33" t="s">
        <v>91</v>
      </c>
      <c r="F113" s="439" t="s">
        <v>46</v>
      </c>
      <c r="G113" s="440"/>
      <c r="H113" s="441"/>
    </row>
    <row r="114" spans="1:14" s="8" customFormat="1" ht="20.149999999999999" customHeight="1" x14ac:dyDescent="0.25">
      <c r="A114" s="436" t="s">
        <v>75</v>
      </c>
      <c r="B114" s="437"/>
      <c r="C114" s="437"/>
      <c r="D114" s="438"/>
      <c r="E114" s="39" t="s">
        <v>92</v>
      </c>
      <c r="F114" s="426" t="s">
        <v>90</v>
      </c>
      <c r="G114" s="427"/>
      <c r="H114" s="428"/>
    </row>
    <row r="115" spans="1:14" s="8" customFormat="1" ht="20.149999999999999" customHeight="1" x14ac:dyDescent="0.25">
      <c r="A115" s="430" t="s">
        <v>31</v>
      </c>
      <c r="B115" s="431"/>
      <c r="C115" s="431"/>
      <c r="D115" s="432"/>
      <c r="E115" s="39" t="s">
        <v>76</v>
      </c>
      <c r="F115" s="390" t="s">
        <v>47</v>
      </c>
      <c r="G115" s="391"/>
      <c r="H115" s="392"/>
      <c r="J115" s="34"/>
      <c r="K115" s="429"/>
      <c r="L115" s="429"/>
      <c r="M115" s="429"/>
      <c r="N115" s="429"/>
    </row>
    <row r="116" spans="1:14" s="8" customFormat="1" ht="20.149999999999999" customHeight="1" x14ac:dyDescent="0.25">
      <c r="A116" s="408" t="s">
        <v>32</v>
      </c>
      <c r="B116" s="409"/>
      <c r="C116" s="409"/>
      <c r="D116" s="410"/>
      <c r="E116" s="39" t="s">
        <v>77</v>
      </c>
      <c r="F116" s="387" t="s">
        <v>48</v>
      </c>
      <c r="G116" s="388"/>
      <c r="H116" s="389"/>
      <c r="J116" s="34"/>
      <c r="K116" s="35"/>
      <c r="L116" s="35"/>
      <c r="M116" s="35"/>
      <c r="N116" s="35"/>
    </row>
    <row r="117" spans="1:14" s="8" customFormat="1" ht="20.149999999999999" customHeight="1" x14ac:dyDescent="0.25">
      <c r="A117" s="408" t="s">
        <v>33</v>
      </c>
      <c r="B117" s="409"/>
      <c r="C117" s="409"/>
      <c r="D117" s="410"/>
      <c r="E117" s="39" t="s">
        <v>78</v>
      </c>
      <c r="F117" s="387" t="s">
        <v>49</v>
      </c>
      <c r="G117" s="388"/>
      <c r="H117" s="389"/>
      <c r="J117" s="34"/>
      <c r="K117" s="35"/>
      <c r="L117" s="35"/>
      <c r="M117" s="35"/>
      <c r="N117" s="35"/>
    </row>
    <row r="118" spans="1:14" s="8" customFormat="1" ht="20.149999999999999" customHeight="1" x14ac:dyDescent="0.25">
      <c r="A118" s="420" t="s">
        <v>94</v>
      </c>
      <c r="B118" s="421"/>
      <c r="C118" s="421"/>
      <c r="D118" s="422"/>
      <c r="E118" s="39" t="s">
        <v>95</v>
      </c>
      <c r="F118" s="423" t="s">
        <v>96</v>
      </c>
      <c r="G118" s="424"/>
      <c r="H118" s="425"/>
      <c r="J118" s="34"/>
      <c r="K118" s="35"/>
      <c r="L118" s="35"/>
      <c r="M118" s="35"/>
      <c r="N118" s="35"/>
    </row>
    <row r="119" spans="1:14" s="8" customFormat="1" ht="20.149999999999999" customHeight="1" x14ac:dyDescent="0.25">
      <c r="A119" s="408" t="s">
        <v>34</v>
      </c>
      <c r="B119" s="409"/>
      <c r="C119" s="409"/>
      <c r="D119" s="410"/>
      <c r="E119" s="39" t="s">
        <v>79</v>
      </c>
      <c r="F119" s="387" t="s">
        <v>50</v>
      </c>
      <c r="G119" s="388"/>
      <c r="H119" s="389"/>
      <c r="J119" s="34"/>
      <c r="K119" s="35"/>
      <c r="L119" s="35"/>
      <c r="M119" s="35"/>
      <c r="N119" s="35"/>
    </row>
    <row r="120" spans="1:14" s="8" customFormat="1" ht="20.149999999999999" customHeight="1" x14ac:dyDescent="0.25">
      <c r="A120" s="408" t="s">
        <v>35</v>
      </c>
      <c r="B120" s="409"/>
      <c r="C120" s="409"/>
      <c r="D120" s="410"/>
      <c r="E120" s="39" t="s">
        <v>80</v>
      </c>
      <c r="F120" s="387" t="s">
        <v>51</v>
      </c>
      <c r="G120" s="388"/>
      <c r="H120" s="389"/>
      <c r="J120" s="34"/>
      <c r="K120" s="35"/>
      <c r="L120" s="35"/>
      <c r="M120" s="35"/>
      <c r="N120" s="35"/>
    </row>
    <row r="121" spans="1:14" s="8" customFormat="1" ht="20.149999999999999" customHeight="1" x14ac:dyDescent="0.25">
      <c r="A121" s="408" t="s">
        <v>36</v>
      </c>
      <c r="B121" s="409"/>
      <c r="C121" s="409"/>
      <c r="D121" s="410"/>
      <c r="E121" s="39" t="s">
        <v>81</v>
      </c>
      <c r="F121" s="387" t="s">
        <v>52</v>
      </c>
      <c r="G121" s="388"/>
      <c r="H121" s="389"/>
      <c r="J121" s="34"/>
      <c r="K121" s="35"/>
      <c r="L121" s="35"/>
      <c r="M121" s="35"/>
      <c r="N121" s="35"/>
    </row>
    <row r="122" spans="1:14" s="8" customFormat="1" ht="20.149999999999999" customHeight="1" x14ac:dyDescent="0.25">
      <c r="A122" s="408" t="s">
        <v>14</v>
      </c>
      <c r="B122" s="409"/>
      <c r="C122" s="409"/>
      <c r="D122" s="410"/>
      <c r="E122" s="39" t="s">
        <v>82</v>
      </c>
      <c r="F122" s="387" t="s">
        <v>53</v>
      </c>
      <c r="G122" s="388"/>
      <c r="H122" s="389"/>
      <c r="J122" s="34"/>
      <c r="K122" s="35"/>
      <c r="L122" s="35"/>
      <c r="M122" s="35"/>
      <c r="N122" s="35"/>
    </row>
    <row r="123" spans="1:14" s="8" customFormat="1" ht="20.149999999999999" customHeight="1" x14ac:dyDescent="0.25">
      <c r="A123" s="408" t="s">
        <v>54</v>
      </c>
      <c r="B123" s="409"/>
      <c r="C123" s="409"/>
      <c r="D123" s="410"/>
      <c r="E123" s="40"/>
      <c r="F123" s="393"/>
      <c r="G123" s="394"/>
      <c r="H123" s="395"/>
      <c r="J123" s="34"/>
      <c r="K123" s="35"/>
      <c r="L123" s="35"/>
      <c r="M123" s="35"/>
      <c r="N123" s="35"/>
    </row>
    <row r="124" spans="1:14" s="8" customFormat="1" ht="20.149999999999999" customHeight="1" x14ac:dyDescent="0.25">
      <c r="A124" s="414" t="s">
        <v>55</v>
      </c>
      <c r="B124" s="415"/>
      <c r="C124" s="415"/>
      <c r="D124" s="416"/>
      <c r="E124" s="39" t="s">
        <v>83</v>
      </c>
      <c r="F124" s="387" t="s">
        <v>56</v>
      </c>
      <c r="G124" s="388"/>
      <c r="H124" s="389"/>
      <c r="J124" s="34"/>
      <c r="K124" s="36"/>
      <c r="L124" s="36"/>
      <c r="M124" s="36"/>
      <c r="N124" s="36"/>
    </row>
    <row r="125" spans="1:14" s="8" customFormat="1" ht="20.149999999999999" customHeight="1" x14ac:dyDescent="0.25">
      <c r="A125" s="414" t="s">
        <v>57</v>
      </c>
      <c r="B125" s="415"/>
      <c r="C125" s="415"/>
      <c r="D125" s="416"/>
      <c r="E125" s="39" t="s">
        <v>84</v>
      </c>
      <c r="F125" s="387" t="s">
        <v>58</v>
      </c>
      <c r="G125" s="388"/>
      <c r="H125" s="389"/>
      <c r="J125" s="34"/>
      <c r="K125" s="36"/>
      <c r="L125" s="36"/>
      <c r="M125" s="36"/>
      <c r="N125" s="36"/>
    </row>
    <row r="126" spans="1:14" s="8" customFormat="1" ht="20.149999999999999" customHeight="1" x14ac:dyDescent="0.25">
      <c r="A126" s="414" t="s">
        <v>59</v>
      </c>
      <c r="B126" s="415"/>
      <c r="C126" s="415"/>
      <c r="D126" s="416"/>
      <c r="E126" s="39" t="s">
        <v>85</v>
      </c>
      <c r="F126" s="387" t="s">
        <v>60</v>
      </c>
      <c r="G126" s="388"/>
      <c r="H126" s="389"/>
      <c r="J126" s="34"/>
      <c r="K126" s="36"/>
      <c r="L126" s="36"/>
      <c r="M126" s="36"/>
      <c r="N126" s="36"/>
    </row>
    <row r="127" spans="1:14" s="8" customFormat="1" ht="20.149999999999999" customHeight="1" x14ac:dyDescent="0.25">
      <c r="A127" s="408" t="s">
        <v>38</v>
      </c>
      <c r="B127" s="409"/>
      <c r="C127" s="409"/>
      <c r="D127" s="410"/>
      <c r="E127" s="40"/>
      <c r="F127" s="396"/>
      <c r="G127" s="397"/>
      <c r="H127" s="398"/>
      <c r="J127" s="34"/>
      <c r="K127" s="35"/>
      <c r="L127" s="35"/>
      <c r="M127" s="35"/>
      <c r="N127" s="35"/>
    </row>
    <row r="128" spans="1:14" s="8" customFormat="1" ht="20.149999999999999" customHeight="1" x14ac:dyDescent="0.25">
      <c r="A128" s="414" t="s">
        <v>61</v>
      </c>
      <c r="B128" s="415"/>
      <c r="C128" s="415"/>
      <c r="D128" s="416"/>
      <c r="E128" s="39" t="s">
        <v>86</v>
      </c>
      <c r="F128" s="387" t="s">
        <v>62</v>
      </c>
      <c r="G128" s="388"/>
      <c r="H128" s="389"/>
      <c r="J128" s="34"/>
      <c r="K128" s="36"/>
      <c r="L128" s="36"/>
      <c r="M128" s="36"/>
      <c r="N128" s="36"/>
    </row>
    <row r="129" spans="1:14" s="8" customFormat="1" ht="20.149999999999999" customHeight="1" x14ac:dyDescent="0.25">
      <c r="A129" s="414" t="s">
        <v>63</v>
      </c>
      <c r="B129" s="415"/>
      <c r="C129" s="415"/>
      <c r="D129" s="416"/>
      <c r="E129" s="39" t="s">
        <v>87</v>
      </c>
      <c r="F129" s="387" t="s">
        <v>64</v>
      </c>
      <c r="G129" s="388"/>
      <c r="H129" s="389"/>
      <c r="J129" s="34"/>
      <c r="K129" s="36"/>
      <c r="L129" s="36"/>
      <c r="M129" s="36"/>
      <c r="N129" s="36"/>
    </row>
    <row r="130" spans="1:14" s="8" customFormat="1" ht="20.149999999999999" customHeight="1" x14ac:dyDescent="0.25">
      <c r="A130" s="414" t="s">
        <v>65</v>
      </c>
      <c r="B130" s="415"/>
      <c r="C130" s="415"/>
      <c r="D130" s="416"/>
      <c r="E130" s="39" t="s">
        <v>88</v>
      </c>
      <c r="F130" s="387" t="s">
        <v>66</v>
      </c>
      <c r="G130" s="388"/>
      <c r="H130" s="389"/>
      <c r="J130" s="34"/>
      <c r="K130" s="36"/>
      <c r="L130" s="36"/>
      <c r="M130" s="36"/>
      <c r="N130" s="36"/>
    </row>
    <row r="131" spans="1:14" s="20" customFormat="1" ht="20.149999999999999" customHeight="1" x14ac:dyDescent="0.25">
      <c r="A131" s="411" t="s">
        <v>67</v>
      </c>
      <c r="B131" s="412"/>
      <c r="C131" s="412"/>
      <c r="D131" s="413"/>
      <c r="E131" s="39" t="s">
        <v>89</v>
      </c>
      <c r="F131" s="402" t="s">
        <v>68</v>
      </c>
      <c r="G131" s="403"/>
      <c r="H131" s="404"/>
      <c r="J131" s="34"/>
      <c r="K131" s="37"/>
      <c r="L131" s="37"/>
      <c r="M131" s="37"/>
      <c r="N131" s="37"/>
    </row>
    <row r="132" spans="1:14" s="8" customFormat="1" ht="20.149999999999999" customHeight="1" x14ac:dyDescent="0.25">
      <c r="A132" s="408" t="s">
        <v>39</v>
      </c>
      <c r="B132" s="409"/>
      <c r="C132" s="409"/>
      <c r="D132" s="410"/>
      <c r="E132" s="39" t="s">
        <v>92</v>
      </c>
      <c r="F132" s="387" t="s">
        <v>69</v>
      </c>
      <c r="G132" s="388"/>
      <c r="H132" s="389"/>
      <c r="J132" s="34"/>
      <c r="K132" s="35"/>
      <c r="L132" s="35"/>
      <c r="M132" s="35"/>
      <c r="N132" s="35"/>
    </row>
    <row r="133" spans="1:14" s="8" customFormat="1" ht="20.149999999999999" customHeight="1" x14ac:dyDescent="0.25">
      <c r="A133" s="408" t="s">
        <v>40</v>
      </c>
      <c r="B133" s="409"/>
      <c r="C133" s="409"/>
      <c r="D133" s="410"/>
      <c r="E133" s="39" t="s">
        <v>92</v>
      </c>
      <c r="F133" s="387" t="s">
        <v>70</v>
      </c>
      <c r="G133" s="388"/>
      <c r="H133" s="389"/>
      <c r="J133" s="34"/>
      <c r="K133" s="35"/>
      <c r="L133" s="35"/>
      <c r="M133" s="35"/>
      <c r="N133" s="35"/>
    </row>
    <row r="134" spans="1:14" s="8" customFormat="1" ht="20.149999999999999" customHeight="1" x14ac:dyDescent="0.25">
      <c r="A134" s="408" t="s">
        <v>41</v>
      </c>
      <c r="B134" s="409"/>
      <c r="C134" s="409"/>
      <c r="D134" s="410"/>
      <c r="E134" s="39" t="s">
        <v>93</v>
      </c>
      <c r="F134" s="387" t="s">
        <v>71</v>
      </c>
      <c r="G134" s="388"/>
      <c r="H134" s="389"/>
      <c r="J134" s="34"/>
      <c r="K134" s="35"/>
      <c r="L134" s="35"/>
      <c r="M134" s="35"/>
      <c r="N134" s="35"/>
    </row>
    <row r="135" spans="1:14" s="8" customFormat="1" ht="20.149999999999999" customHeight="1" thickBot="1" x14ac:dyDescent="0.3">
      <c r="A135" s="405" t="s">
        <v>42</v>
      </c>
      <c r="B135" s="406"/>
      <c r="C135" s="406"/>
      <c r="D135" s="407"/>
      <c r="E135" s="38" t="s">
        <v>92</v>
      </c>
      <c r="F135" s="399" t="s">
        <v>72</v>
      </c>
      <c r="G135" s="400"/>
      <c r="H135" s="401"/>
      <c r="J135" s="34"/>
      <c r="K135" s="35"/>
      <c r="L135" s="35"/>
      <c r="M135" s="35"/>
      <c r="N135" s="3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r:id="rId2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16"/>
  </cols>
  <sheetData>
    <row r="1" spans="1:2" x14ac:dyDescent="0.25">
      <c r="A1" s="12" t="s">
        <v>16</v>
      </c>
      <c r="B1" s="12" t="s">
        <v>17</v>
      </c>
    </row>
    <row r="2" spans="1:2" x14ac:dyDescent="0.25">
      <c r="A2" s="16">
        <v>1</v>
      </c>
      <c r="B2" s="12" t="s">
        <v>18</v>
      </c>
    </row>
    <row r="3" spans="1:2" x14ac:dyDescent="0.25">
      <c r="A3" s="16">
        <v>2</v>
      </c>
      <c r="B3" s="12" t="s">
        <v>19</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2021-04-14T17:17:24Z</cp:lastPrinted>
  <dcterms:created xsi:type="dcterms:W3CDTF">2011-02-22T14:15:27Z</dcterms:created>
  <dcterms:modified xsi:type="dcterms:W3CDTF">2021-11-16T20:34:26Z</dcterms:modified>
</cp:coreProperties>
</file>